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65" yWindow="-270" windowWidth="10830" windowHeight="9735" tabRatio="960"/>
  </bookViews>
  <sheets>
    <sheet name="Caratula" sheetId="1" r:id="rId1"/>
    <sheet name="Aldea San Antonio" sheetId="3" r:id="rId2"/>
    <sheet name="Basavilbaso" sheetId="4" r:id="rId3"/>
    <sheet name="Ceibas" sheetId="5" r:id="rId4"/>
    <sheet name="Cerrito" sheetId="6" r:id="rId5"/>
    <sheet name="Chajari" sheetId="7" r:id="rId6"/>
    <sheet name="Colonia Avellaneda" sheetId="8" r:id="rId7"/>
    <sheet name="Colonia Ayui" sheetId="9" r:id="rId8"/>
    <sheet name="Colonia Elia" sheetId="10" r:id="rId9"/>
    <sheet name="Crespo" sheetId="11" r:id="rId10"/>
    <sheet name="Enrique Carbó" sheetId="12" r:id="rId11"/>
    <sheet name="Federación" sheetId="13" r:id="rId12"/>
    <sheet name="Federal" sheetId="14" r:id="rId13"/>
    <sheet name="General Ramírez" sheetId="15" r:id="rId14"/>
    <sheet name="Gualeguay" sheetId="16" r:id="rId15"/>
    <sheet name="Gualeguaychú" sheetId="17" r:id="rId16"/>
    <sheet name="Hernandez" sheetId="18" r:id="rId17"/>
    <sheet name="Ibicuy" sheetId="19" r:id="rId18"/>
    <sheet name="La Paz" sheetId="20" r:id="rId19"/>
    <sheet name="Los Charrúas" sheetId="21" r:id="rId20"/>
    <sheet name="María Grande" sheetId="22" r:id="rId21"/>
    <sheet name="Paraná" sheetId="23" r:id="rId22"/>
    <sheet name="Piedras Blancas" sheetId="24" r:id="rId23"/>
    <sheet name="Pueblo General Belgrano" sheetId="25" r:id="rId24"/>
    <sheet name="Puerto Yeruá" sheetId="26" r:id="rId25"/>
    <sheet name="Rosario del Tala" sheetId="27" r:id="rId26"/>
    <sheet name="San Benito" sheetId="28" r:id="rId27"/>
    <sheet name="San Gustavo" sheetId="29" r:id="rId28"/>
    <sheet name="San Jaime" sheetId="31" r:id="rId29"/>
    <sheet name="San José" sheetId="30" r:id="rId30"/>
    <sheet name="San Salvador" sheetId="32" r:id="rId31"/>
    <sheet name="Seguí" sheetId="33" r:id="rId32"/>
    <sheet name="Tabossi" sheetId="34" r:id="rId33"/>
    <sheet name="Ubajay" sheetId="35" r:id="rId34"/>
    <sheet name="Urdinarrain" sheetId="36" r:id="rId35"/>
    <sheet name="Viale" sheetId="37" r:id="rId36"/>
    <sheet name="Villa Clara" sheetId="38" r:id="rId37"/>
    <sheet name="Villa del Rosario" sheetId="39" r:id="rId38"/>
    <sheet name="Villa Dominguez" sheetId="40" r:id="rId39"/>
    <sheet name="Villa Elisa" sheetId="41" r:id="rId40"/>
    <sheet name="Villa Hernandarias" sheetId="42" r:id="rId41"/>
    <sheet name="Villa Mantero" sheetId="43" r:id="rId42"/>
    <sheet name="Villa Paranacito" sheetId="44" r:id="rId43"/>
    <sheet name="Villaguay" sheetId="45" r:id="rId44"/>
  </sheets>
  <externalReferences>
    <externalReference r:id="rId45"/>
    <externalReference r:id="rId46"/>
    <externalReference r:id="rId47"/>
    <externalReference r:id="rId48"/>
  </externalReferences>
  <definedNames>
    <definedName name="_xlnm._FilterDatabase" localSheetId="15" hidden="1">Gualeguaychú!$A$12:$N$12</definedName>
    <definedName name="_xlnm._FilterDatabase" localSheetId="34" hidden="1">Urdinarrain!$A$7:$M$72</definedName>
    <definedName name="_xlnm.Print_Area" localSheetId="2">Basavilbaso!$A$1:$L$55</definedName>
    <definedName name="_xlnm.Print_Area" localSheetId="3">Ceibas!$A$1:$L$48</definedName>
    <definedName name="_xlnm.Print_Area" localSheetId="4">Cerrito!$A$1:$L$46</definedName>
    <definedName name="_xlnm.Print_Area" localSheetId="5">Chajari!$A$1:$L$48</definedName>
    <definedName name="_xlnm.Print_Area" localSheetId="6">'Colonia Avellaneda'!$A$1:$L$32</definedName>
    <definedName name="_xlnm.Print_Area" localSheetId="7">'Colonia Ayui'!$A$1:$L$47</definedName>
    <definedName name="_xlnm.Print_Area" localSheetId="9">Crespo!$B$1:$L$55</definedName>
    <definedName name="_xlnm.Print_Area" localSheetId="10">'Enrique Carbó'!$A$1:$L$62</definedName>
    <definedName name="_xlnm.Print_Area" localSheetId="11">Federación!$A$1:$L$45</definedName>
    <definedName name="_xlnm.Print_Area" localSheetId="14">Gualeguay!$A$1:$L$39</definedName>
    <definedName name="_xlnm.Print_Area" localSheetId="15">Gualeguaychú!$A$1:$K$41</definedName>
    <definedName name="_xlnm.Print_Area" localSheetId="16">Hernandez!$A$1:$L$117</definedName>
    <definedName name="_xlnm.Print_Area" localSheetId="17">Ibicuy!$A$1:$L$33</definedName>
    <definedName name="_xlnm.Print_Area" localSheetId="18">'La Paz'!$A$1:$K$65</definedName>
    <definedName name="_xlnm.Print_Area" localSheetId="19">'Los Charrúas'!$A$1:$L$50</definedName>
    <definedName name="_xlnm.Print_Area" localSheetId="20">'María Grande'!$A$1:$L$49</definedName>
    <definedName name="_xlnm.Print_Area" localSheetId="21">Paraná!$A$1:$K$57</definedName>
    <definedName name="_xlnm.Print_Area" localSheetId="22">'Piedras Blancas'!$A$1:$L$31</definedName>
    <definedName name="_xlnm.Print_Area" localSheetId="24">'Puerto Yeruá'!$A$1:$L$52</definedName>
    <definedName name="_xlnm.Print_Area" localSheetId="25">'Rosario del Tala'!$A$1:$L$55</definedName>
    <definedName name="_xlnm.Print_Area" localSheetId="26">'San Benito'!$A$1:$K$54</definedName>
    <definedName name="_xlnm.Print_Area" localSheetId="27">'San Gustavo'!$A$1:$L$65</definedName>
    <definedName name="_xlnm.Print_Area" localSheetId="28">'San Jaime'!$A$1:$L$91</definedName>
    <definedName name="_xlnm.Print_Area" localSheetId="30">'San Salvador'!$A$1:$L$58</definedName>
    <definedName name="_xlnm.Print_Area" localSheetId="31">Seguí!$A$1:$L$39</definedName>
    <definedName name="_xlnm.Print_Area" localSheetId="32">Tabossi!$A$1:$L$53</definedName>
    <definedName name="_xlnm.Print_Area" localSheetId="33">Ubajay!$A$1:$L$42</definedName>
    <definedName name="_xlnm.Print_Area" localSheetId="34">Urdinarrain!$A$1:$K$191</definedName>
    <definedName name="_xlnm.Print_Area" localSheetId="35">Viale!$A$1:$L$64</definedName>
    <definedName name="_xlnm.Print_Area" localSheetId="37">'Villa del Rosario'!$A$4:$K$76</definedName>
    <definedName name="_xlnm.Print_Area" localSheetId="38">'Villa Dominguez'!$A$1:$L$46</definedName>
    <definedName name="_xlnm.Print_Area" localSheetId="39">'Villa Elisa'!$A$1:$L$60</definedName>
    <definedName name="_xlnm.Print_Area" localSheetId="41">'Villa Mantero'!$A$1:$L$51</definedName>
    <definedName name="_xlnm.Print_Area" localSheetId="42">'Villa Paranacito'!$A$1:$L$39</definedName>
    <definedName name="_xlnm.Print_Area" localSheetId="43">Villaguay!$A$1:$L$56</definedName>
  </definedNames>
  <calcPr calcId="152511"/>
</workbook>
</file>

<file path=xl/calcChain.xml><?xml version="1.0" encoding="utf-8"?>
<calcChain xmlns="http://schemas.openxmlformats.org/spreadsheetml/2006/main">
  <c r="K52" i="45" l="1"/>
  <c r="K50" i="45"/>
  <c r="K46" i="45"/>
  <c r="K42" i="45"/>
  <c r="K34" i="45"/>
  <c r="K31" i="45"/>
  <c r="K20" i="45"/>
  <c r="K18" i="45"/>
  <c r="K54" i="45" s="1"/>
  <c r="K35" i="44"/>
  <c r="K33" i="44"/>
  <c r="K29" i="44"/>
  <c r="K27" i="44"/>
  <c r="K22" i="44"/>
  <c r="K19" i="44"/>
  <c r="K14" i="44"/>
  <c r="K12" i="44"/>
  <c r="K42" i="44" s="1"/>
  <c r="K46" i="43"/>
  <c r="K45" i="43"/>
  <c r="K43" i="43" s="1"/>
  <c r="K41" i="43"/>
  <c r="K38" i="43"/>
  <c r="K37" i="43"/>
  <c r="K33" i="43"/>
  <c r="K31" i="43"/>
  <c r="K30" i="43"/>
  <c r="K28" i="43"/>
  <c r="K27" i="43"/>
  <c r="K26" i="43"/>
  <c r="K25" i="43"/>
  <c r="K24" i="43"/>
  <c r="K22" i="43"/>
  <c r="K21" i="43"/>
  <c r="K20" i="43"/>
  <c r="K19" i="43"/>
  <c r="K18" i="43" s="1"/>
  <c r="K13" i="43"/>
  <c r="K12" i="43"/>
  <c r="K11" i="43"/>
  <c r="K10" i="43" s="1"/>
  <c r="K8" i="43"/>
  <c r="K49" i="43" s="1"/>
  <c r="K64" i="42" l="1"/>
  <c r="K54" i="41"/>
  <c r="K49" i="41"/>
  <c r="K47" i="41"/>
  <c r="K43" i="41"/>
  <c r="K38" i="41"/>
  <c r="K30" i="41"/>
  <c r="K25" i="41"/>
  <c r="K21" i="41"/>
  <c r="K20" i="41"/>
  <c r="K19" i="41"/>
  <c r="K18" i="41"/>
  <c r="K17" i="41"/>
  <c r="K56" i="41" s="1"/>
  <c r="K42" i="40"/>
  <c r="K40" i="40"/>
  <c r="K36" i="40"/>
  <c r="K32" i="40"/>
  <c r="K25" i="40"/>
  <c r="K24" i="40" s="1"/>
  <c r="K21" i="40"/>
  <c r="K10" i="40"/>
  <c r="K8" i="40"/>
  <c r="K67" i="39"/>
  <c r="J59" i="39"/>
  <c r="K57" i="39"/>
  <c r="K51" i="39"/>
  <c r="K45" i="39"/>
  <c r="O40" i="39"/>
  <c r="K39" i="39"/>
  <c r="K33" i="39"/>
  <c r="K15" i="39"/>
  <c r="K13" i="39"/>
  <c r="K76" i="39" s="1"/>
  <c r="K44" i="40" l="1"/>
  <c r="K42" i="38"/>
  <c r="J36" i="38"/>
  <c r="J34" i="38"/>
  <c r="J28" i="38"/>
  <c r="J21" i="38"/>
  <c r="J18" i="38"/>
  <c r="J11" i="38"/>
  <c r="K57" i="37"/>
  <c r="K54" i="37"/>
  <c r="K53" i="37"/>
  <c r="K45" i="37"/>
  <c r="K44" i="37"/>
  <c r="K36" i="37"/>
  <c r="K28" i="37"/>
  <c r="K19" i="37"/>
  <c r="K13" i="37"/>
  <c r="K12" i="37"/>
  <c r="K62" i="37" s="1"/>
  <c r="K65" i="37" s="1"/>
  <c r="K158" i="36" l="1"/>
  <c r="K157" i="36"/>
  <c r="K156" i="36" s="1"/>
  <c r="K153" i="36"/>
  <c r="K152" i="36"/>
  <c r="K151" i="36"/>
  <c r="K150" i="36" s="1"/>
  <c r="K147" i="36"/>
  <c r="K144" i="36"/>
  <c r="K141" i="36"/>
  <c r="K134" i="36"/>
  <c r="K133" i="36"/>
  <c r="K132" i="36" s="1"/>
  <c r="K129" i="36"/>
  <c r="K117" i="36"/>
  <c r="K116" i="36"/>
  <c r="K115" i="36"/>
  <c r="K114" i="36"/>
  <c r="K113" i="36"/>
  <c r="K110" i="36"/>
  <c r="K108" i="36"/>
  <c r="K107" i="36" s="1"/>
  <c r="K105" i="36"/>
  <c r="K104" i="36"/>
  <c r="K103" i="36"/>
  <c r="K101" i="36"/>
  <c r="K100" i="36"/>
  <c r="K99" i="36" s="1"/>
  <c r="K96" i="36"/>
  <c r="K88" i="36"/>
  <c r="K85" i="36"/>
  <c r="K73" i="36"/>
  <c r="K72" i="36"/>
  <c r="K71" i="36"/>
  <c r="K68" i="36"/>
  <c r="K187" i="36" s="1"/>
  <c r="K66" i="36"/>
  <c r="K65" i="36"/>
  <c r="K64" i="36"/>
  <c r="K63" i="36"/>
  <c r="K62" i="36"/>
  <c r="K61" i="36" s="1"/>
  <c r="K59" i="36"/>
  <c r="K58" i="36" s="1"/>
  <c r="K183" i="36" s="1"/>
  <c r="K56" i="36"/>
  <c r="K55" i="36"/>
  <c r="K54" i="36"/>
  <c r="K53" i="36"/>
  <c r="K52" i="36"/>
  <c r="K51" i="36"/>
  <c r="K50" i="36"/>
  <c r="K49" i="36"/>
  <c r="K48" i="36"/>
  <c r="K47" i="36"/>
  <c r="K46" i="36"/>
  <c r="K45" i="36"/>
  <c r="K44" i="36"/>
  <c r="K43" i="36"/>
  <c r="K42" i="36"/>
  <c r="K41" i="36"/>
  <c r="K40" i="36"/>
  <c r="K39" i="36"/>
  <c r="K38" i="36"/>
  <c r="K37" i="36"/>
  <c r="K36" i="36"/>
  <c r="K35" i="36"/>
  <c r="K34" i="36"/>
  <c r="K181" i="36" s="1"/>
  <c r="K32" i="36"/>
  <c r="K31" i="36"/>
  <c r="K30" i="36"/>
  <c r="K29" i="36"/>
  <c r="K28" i="36"/>
  <c r="K27" i="36"/>
  <c r="K179" i="36" s="1"/>
  <c r="K25" i="36"/>
  <c r="K24" i="36"/>
  <c r="K23" i="36"/>
  <c r="K22" i="36"/>
  <c r="K21" i="36"/>
  <c r="K20" i="36"/>
  <c r="K19" i="36"/>
  <c r="K18" i="36"/>
  <c r="K17" i="36"/>
  <c r="K16" i="36"/>
  <c r="K15" i="36"/>
  <c r="K14" i="36"/>
  <c r="K13" i="36"/>
  <c r="K12" i="36"/>
  <c r="K9" i="36"/>
  <c r="K170" i="36" s="1"/>
  <c r="K119" i="36" l="1"/>
  <c r="K160" i="36"/>
  <c r="K172" i="36"/>
  <c r="K191" i="36" s="1"/>
  <c r="K193" i="36" s="1"/>
  <c r="K185" i="36"/>
  <c r="K75" i="36"/>
  <c r="K192" i="36" s="1"/>
  <c r="K189" i="36"/>
  <c r="K12" i="35" l="1"/>
  <c r="K40" i="35" s="1"/>
  <c r="J50" i="34" l="1"/>
  <c r="K47" i="34"/>
  <c r="K45" i="34"/>
  <c r="J43" i="34"/>
  <c r="J42" i="34"/>
  <c r="K41" i="34"/>
  <c r="K37" i="34"/>
  <c r="K27" i="34"/>
  <c r="K24" i="34"/>
  <c r="K15" i="34"/>
  <c r="K14" i="34"/>
  <c r="K13" i="34" s="1"/>
  <c r="K11" i="34"/>
  <c r="K26" i="33"/>
  <c r="K23" i="33"/>
  <c r="K21" i="33"/>
  <c r="K19" i="33"/>
  <c r="K43" i="32"/>
  <c r="K40" i="32"/>
  <c r="K37" i="32"/>
  <c r="K33" i="32"/>
  <c r="K30" i="32"/>
  <c r="K29" i="32"/>
  <c r="K28" i="32"/>
  <c r="K27" i="32"/>
  <c r="K26" i="32" s="1"/>
  <c r="K11" i="32"/>
  <c r="K9" i="32"/>
  <c r="K10" i="31"/>
  <c r="K12" i="31"/>
  <c r="K89" i="31" s="1"/>
  <c r="H13" i="31"/>
  <c r="I13" i="31"/>
  <c r="H14" i="31"/>
  <c r="I14" i="31"/>
  <c r="H15" i="31"/>
  <c r="I15" i="31"/>
  <c r="H16" i="31"/>
  <c r="I16" i="31"/>
  <c r="K26" i="31"/>
  <c r="G28" i="31"/>
  <c r="H29" i="31"/>
  <c r="I29" i="31"/>
  <c r="G30" i="31"/>
  <c r="G33" i="31"/>
  <c r="G34" i="31"/>
  <c r="G35" i="31"/>
  <c r="G36" i="31"/>
  <c r="G37" i="31"/>
  <c r="G38" i="31"/>
  <c r="G39" i="31"/>
  <c r="G40" i="31"/>
  <c r="G41" i="31"/>
  <c r="G42" i="31"/>
  <c r="K51" i="31"/>
  <c r="G52" i="31"/>
  <c r="G54" i="31"/>
  <c r="G55" i="31"/>
  <c r="G56" i="31"/>
  <c r="G57" i="31"/>
  <c r="G58" i="31"/>
  <c r="G59" i="31"/>
  <c r="H60" i="31"/>
  <c r="H61" i="31"/>
  <c r="H62" i="31"/>
  <c r="H63" i="31"/>
  <c r="G64" i="31"/>
  <c r="G65" i="31"/>
  <c r="G66" i="31"/>
  <c r="G67" i="31"/>
  <c r="G68" i="31"/>
  <c r="H69" i="31"/>
  <c r="I69" i="31"/>
  <c r="G70" i="31"/>
  <c r="G71" i="31"/>
  <c r="K76" i="31"/>
  <c r="G77" i="31"/>
  <c r="G78" i="31"/>
  <c r="K80" i="31"/>
  <c r="G81" i="31"/>
  <c r="K85" i="31"/>
  <c r="K88" i="31"/>
  <c r="K87" i="31" s="1"/>
  <c r="K40" i="30"/>
  <c r="K33" i="30"/>
  <c r="K18" i="30"/>
  <c r="K9" i="30"/>
  <c r="K50" i="30" s="1"/>
  <c r="K46" i="28"/>
  <c r="K44" i="28"/>
  <c r="K40" i="28"/>
  <c r="K36" i="28"/>
  <c r="K29" i="28"/>
  <c r="K26" i="28"/>
  <c r="J15" i="28"/>
  <c r="K13" i="28"/>
  <c r="K11" i="28"/>
  <c r="K52" i="28" s="1"/>
  <c r="K53" i="27"/>
  <c r="K49" i="27"/>
  <c r="K46" i="27"/>
  <c r="K42" i="27"/>
  <c r="K34" i="27"/>
  <c r="K31" i="27"/>
  <c r="K20" i="27"/>
  <c r="K18" i="27"/>
  <c r="K60" i="27" s="1"/>
  <c r="K42" i="26"/>
  <c r="K51" i="26" s="1"/>
  <c r="K40" i="26"/>
  <c r="K37" i="26"/>
  <c r="K34" i="26"/>
  <c r="K27" i="26"/>
  <c r="C26" i="26"/>
  <c r="K24" i="26"/>
  <c r="K13" i="26"/>
  <c r="L43" i="25"/>
  <c r="L31" i="25"/>
  <c r="L52" i="25" s="1"/>
  <c r="L22" i="25"/>
  <c r="L11" i="25"/>
  <c r="K51" i="34" l="1"/>
  <c r="K56" i="32"/>
  <c r="K43" i="24"/>
  <c r="K41" i="24"/>
  <c r="K37" i="24"/>
  <c r="K30" i="24"/>
  <c r="K19" i="24"/>
  <c r="K15" i="24"/>
  <c r="K11" i="24"/>
  <c r="K9" i="24"/>
  <c r="K56" i="24" s="1"/>
  <c r="K47" i="23"/>
  <c r="K56" i="23" s="1"/>
  <c r="K43" i="23"/>
  <c r="K38" i="23"/>
  <c r="K34" i="23"/>
  <c r="K25" i="23"/>
  <c r="K22" i="23"/>
  <c r="K11" i="23"/>
  <c r="K9" i="23"/>
  <c r="K43" i="22"/>
  <c r="K41" i="22" s="1"/>
  <c r="K36" i="22"/>
  <c r="K24" i="22"/>
  <c r="K20" i="22"/>
  <c r="K15" i="22"/>
  <c r="K12" i="22"/>
  <c r="K11" i="22" s="1"/>
  <c r="K47" i="22" l="1"/>
  <c r="K46" i="21" l="1"/>
  <c r="K44" i="21"/>
  <c r="K40" i="21"/>
  <c r="K36" i="21"/>
  <c r="K26" i="21"/>
  <c r="K23" i="21"/>
  <c r="K12" i="21"/>
  <c r="K10" i="21"/>
  <c r="K48" i="21" s="1"/>
  <c r="K55" i="20" l="1"/>
  <c r="K52" i="20"/>
  <c r="K49" i="20"/>
  <c r="K43" i="20"/>
  <c r="K33" i="20"/>
  <c r="K30" i="20"/>
  <c r="K11" i="20"/>
  <c r="K9" i="20"/>
  <c r="K65" i="20" s="1"/>
  <c r="K39" i="19"/>
  <c r="K36" i="19"/>
  <c r="K19" i="19"/>
  <c r="K12" i="19"/>
  <c r="K44" i="19" s="1"/>
  <c r="K112" i="18"/>
  <c r="K109" i="18"/>
  <c r="K106" i="18"/>
  <c r="K94" i="18"/>
  <c r="K93" i="18"/>
  <c r="K88" i="18"/>
  <c r="K73" i="18"/>
  <c r="K20" i="18"/>
  <c r="K12" i="18"/>
  <c r="K11" i="18" s="1"/>
  <c r="K115" i="18" s="1"/>
  <c r="K9" i="18"/>
  <c r="K39" i="17" l="1"/>
  <c r="K37" i="17"/>
  <c r="K34" i="17"/>
  <c r="K32" i="17"/>
  <c r="K30" i="17"/>
  <c r="K28" i="17" s="1"/>
  <c r="K26" i="17"/>
  <c r="K12" i="17"/>
  <c r="K10" i="17"/>
  <c r="K41" i="17" s="1"/>
  <c r="K30" i="16" l="1"/>
  <c r="K28" i="16"/>
  <c r="K26" i="16"/>
  <c r="K24" i="16"/>
  <c r="K20" i="16"/>
  <c r="K18" i="16"/>
  <c r="K12" i="16"/>
  <c r="K37" i="16" s="1"/>
  <c r="K10" i="16"/>
  <c r="K41" i="15"/>
  <c r="K38" i="15"/>
  <c r="K36" i="15"/>
  <c r="K33" i="15"/>
  <c r="K31" i="15"/>
  <c r="K21" i="15"/>
  <c r="K18" i="15"/>
  <c r="K16" i="15"/>
  <c r="K14" i="15"/>
  <c r="K13" i="15"/>
  <c r="K12" i="15" s="1"/>
  <c r="K10" i="15"/>
  <c r="K41" i="13"/>
  <c r="K39" i="13"/>
  <c r="K35" i="13"/>
  <c r="K31" i="13"/>
  <c r="K23" i="13"/>
  <c r="K20" i="13"/>
  <c r="K11" i="13"/>
  <c r="K9" i="13"/>
  <c r="K43" i="13" s="1"/>
  <c r="K52" i="12"/>
  <c r="K50" i="12"/>
  <c r="K46" i="12"/>
  <c r="K42" i="12"/>
  <c r="K34" i="12"/>
  <c r="K31" i="12"/>
  <c r="K20" i="12"/>
  <c r="K18" i="12"/>
  <c r="K60" i="12" s="1"/>
  <c r="L70" i="11"/>
  <c r="L69" i="11"/>
  <c r="L72" i="11" s="1"/>
  <c r="L40" i="11"/>
  <c r="L38" i="11"/>
  <c r="L34" i="11"/>
  <c r="L31" i="11"/>
  <c r="L24" i="11"/>
  <c r="L22" i="11"/>
  <c r="L11" i="11"/>
  <c r="L9" i="11"/>
  <c r="L54" i="11" s="1"/>
  <c r="L73" i="11" s="1"/>
  <c r="K60" i="10" l="1"/>
  <c r="K58" i="10"/>
  <c r="K67" i="10" s="1"/>
  <c r="K56" i="10"/>
  <c r="K54" i="10"/>
  <c r="K27" i="10"/>
  <c r="K23" i="10"/>
  <c r="K14" i="10"/>
  <c r="K12" i="10"/>
  <c r="K43" i="9" l="1"/>
  <c r="K41" i="9"/>
  <c r="K37" i="9"/>
  <c r="K33" i="9"/>
  <c r="K25" i="9"/>
  <c r="K22" i="9"/>
  <c r="K11" i="9"/>
  <c r="K9" i="9"/>
  <c r="K45" i="9" s="1"/>
  <c r="K25" i="8"/>
  <c r="K21" i="8"/>
  <c r="K17" i="8"/>
  <c r="K16" i="8"/>
  <c r="K15" i="8" s="1"/>
  <c r="K10" i="8"/>
  <c r="K30" i="8" s="1"/>
  <c r="K8" i="8"/>
  <c r="K49" i="7"/>
  <c r="K45" i="7"/>
  <c r="K41" i="7"/>
  <c r="K35" i="7"/>
  <c r="K28" i="7"/>
  <c r="K25" i="7"/>
  <c r="K12" i="7"/>
  <c r="K62" i="7" s="1"/>
  <c r="K10" i="7"/>
  <c r="K34" i="6"/>
  <c r="K32" i="6"/>
  <c r="K30" i="6"/>
  <c r="K28" i="6"/>
  <c r="K20" i="6"/>
  <c r="K17" i="6"/>
  <c r="K12" i="6"/>
  <c r="K10" i="6"/>
  <c r="K42" i="6" s="1"/>
  <c r="K44" i="5"/>
  <c r="K42" i="5"/>
  <c r="K38" i="5"/>
  <c r="K34" i="5"/>
  <c r="K26" i="5"/>
  <c r="K23" i="5"/>
  <c r="K12" i="5"/>
  <c r="K10" i="5"/>
  <c r="K46" i="5" s="1"/>
  <c r="K50" i="4" l="1"/>
  <c r="K48" i="4"/>
  <c r="K44" i="4"/>
  <c r="J43" i="4"/>
  <c r="J45" i="4" s="1"/>
  <c r="J46" i="4" s="1"/>
  <c r="J49" i="4" s="1"/>
  <c r="K42" i="4"/>
  <c r="J40" i="4"/>
  <c r="K33" i="4"/>
  <c r="K31" i="4"/>
  <c r="J28" i="4"/>
  <c r="J29" i="4" s="1"/>
  <c r="E25" i="4"/>
  <c r="J24" i="4"/>
  <c r="J23" i="4"/>
  <c r="H17" i="4"/>
  <c r="K10" i="4"/>
  <c r="K53" i="4" s="1"/>
  <c r="K8" i="4"/>
  <c r="K16" i="3"/>
  <c r="K13" i="3" s="1"/>
  <c r="K22" i="3"/>
  <c r="K26" i="3"/>
  <c r="K34" i="3"/>
  <c r="K36" i="3"/>
  <c r="K40" i="3"/>
  <c r="K42" i="3"/>
  <c r="K49" i="3"/>
  <c r="K54" i="3"/>
  <c r="J30" i="4" l="1"/>
  <c r="J32" i="4" s="1"/>
  <c r="K60" i="3"/>
  <c r="H4" i="1"/>
  <c r="J24" i="28"/>
  <c r="J21" i="28"/>
  <c r="J25" i="28"/>
  <c r="J35" i="28"/>
  <c r="J37" i="28"/>
  <c r="J41" i="28"/>
  <c r="J23" i="28"/>
  <c r="J34" i="28"/>
  <c r="J50" i="28"/>
  <c r="J22" i="28"/>
  <c r="J19" i="28"/>
  <c r="J48" i="28"/>
  <c r="J49" i="28"/>
  <c r="J32" i="28"/>
  <c r="J33" i="28"/>
  <c r="J18" i="28"/>
  <c r="J20" i="28"/>
  <c r="J30" i="28"/>
  <c r="J31" i="28"/>
  <c r="J16" i="28"/>
  <c r="J17" i="28"/>
</calcChain>
</file>

<file path=xl/comments1.xml><?xml version="1.0" encoding="utf-8"?>
<comments xmlns="http://schemas.openxmlformats.org/spreadsheetml/2006/main">
  <authors>
    <author>Autor</author>
  </authors>
  <commentList>
    <comment ref="B16" authorId="0" shapeId="0">
      <text>
        <r>
          <rPr>
            <b/>
            <sz val="9"/>
            <color indexed="81"/>
            <rFont val="Tahoma"/>
            <family val="2"/>
          </rPr>
          <t>Autor:</t>
        </r>
        <r>
          <rPr>
            <sz val="9"/>
            <color indexed="81"/>
            <rFont val="Tahoma"/>
            <family val="2"/>
          </rPr>
          <t xml:space="preserve">
No se deben mezclar conceptos, es decir, alicuotas con base imponible</t>
        </r>
      </text>
    </comment>
    <comment ref="A21" authorId="0" shapeId="0">
      <text>
        <r>
          <rPr>
            <b/>
            <sz val="9"/>
            <color indexed="81"/>
            <rFont val="Tahoma"/>
            <family val="2"/>
          </rPr>
          <t>Autor:</t>
        </r>
        <r>
          <rPr>
            <sz val="9"/>
            <color indexed="81"/>
            <rFont val="Tahoma"/>
            <family val="2"/>
          </rPr>
          <t xml:space="preserve">
Figura como Derecho en la Normativa
</t>
        </r>
      </text>
    </comment>
  </commentList>
</comments>
</file>

<file path=xl/comments2.xml><?xml version="1.0" encoding="utf-8"?>
<comments xmlns="http://schemas.openxmlformats.org/spreadsheetml/2006/main">
  <authors>
    <author>Autor</author>
  </authors>
  <commentList>
    <comment ref="J134" authorId="0" shapeId="0">
      <text>
        <r>
          <rPr>
            <b/>
            <sz val="9"/>
            <color indexed="81"/>
            <rFont val="Tahoma"/>
            <family val="2"/>
          </rPr>
          <t>Autor:</t>
        </r>
        <r>
          <rPr>
            <sz val="9"/>
            <color indexed="81"/>
            <rFont val="Tahoma"/>
            <family val="2"/>
          </rPr>
          <t xml:space="preserve">
EN 2022 ORD.1453/21
MIN.96,08 MAX.960,75</t>
        </r>
      </text>
    </comment>
  </commentList>
</comments>
</file>

<file path=xl/comments3.xml><?xml version="1.0" encoding="utf-8"?>
<comments xmlns="http://schemas.openxmlformats.org/spreadsheetml/2006/main">
  <authors>
    <author>Autor</author>
  </authors>
  <commentList>
    <comment ref="K15" authorId="0" shapeId="0">
      <text>
        <r>
          <rPr>
            <b/>
            <sz val="9"/>
            <color indexed="81"/>
            <rFont val="Tahoma"/>
            <family val="2"/>
          </rPr>
          <t>Autor:</t>
        </r>
        <r>
          <rPr>
            <sz val="9"/>
            <color indexed="81"/>
            <rFont val="Tahoma"/>
            <family val="2"/>
          </rPr>
          <t xml:space="preserve">
INCLUYE "OTRAS TASAS MPALES" Y "ENTRADAS EXTRAORDINARIAS"
</t>
        </r>
      </text>
    </comment>
    <comment ref="J18" authorId="0" shapeId="0">
      <text>
        <r>
          <rPr>
            <b/>
            <sz val="9"/>
            <color indexed="81"/>
            <rFont val="Tahoma"/>
            <family val="2"/>
          </rPr>
          <t>Autor:</t>
        </r>
        <r>
          <rPr>
            <sz val="9"/>
            <color indexed="81"/>
            <rFont val="Tahoma"/>
            <family val="2"/>
          </rPr>
          <t xml:space="preserve">
ORDENANZA DE 13 07 18 Nº 168
</t>
        </r>
      </text>
    </comment>
    <comment ref="H21" authorId="0" shapeId="0">
      <text>
        <r>
          <rPr>
            <b/>
            <sz val="9"/>
            <color indexed="81"/>
            <rFont val="Tahoma"/>
            <family val="2"/>
          </rPr>
          <t>Autor:</t>
        </r>
        <r>
          <rPr>
            <sz val="9"/>
            <color indexed="81"/>
            <rFont val="Tahoma"/>
            <family val="2"/>
          </rPr>
          <t xml:space="preserve">
DE LOS IMPORTES PREVISTOS EN C.T.M., SE ANUALIZA
</t>
        </r>
      </text>
    </comment>
  </commentList>
</comments>
</file>

<file path=xl/sharedStrings.xml><?xml version="1.0" encoding="utf-8"?>
<sst xmlns="http://schemas.openxmlformats.org/spreadsheetml/2006/main" count="5909" uniqueCount="2473">
  <si>
    <t>PLANILLA 4: RECURSOS PROPIOS DE LOS MUNICIPIOS DE LA PROVINCIA DE ENTRE RÍOS</t>
  </si>
  <si>
    <t xml:space="preserve"> Total de Municipio que informaron:</t>
  </si>
  <si>
    <t xml:space="preserve">  Actualizada al:</t>
  </si>
  <si>
    <t xml:space="preserve">  C.P.N Carolina Roldán</t>
  </si>
  <si>
    <t xml:space="preserve">  Directora Coordinadora de Relaciones Fiscales con Municipios</t>
  </si>
  <si>
    <t xml:space="preserve">  Ministerio de Economía, Hacienda y Finanzas- Gobierno de Entre Ríos</t>
  </si>
  <si>
    <t xml:space="preserve">  0343- 4208266 / croldan.er@gmail.com</t>
  </si>
  <si>
    <t>Situación del registro de la Planilla 4: Recursos Propios.</t>
  </si>
  <si>
    <t>MUNICIPIOS</t>
  </si>
  <si>
    <t>1º de Mayo</t>
  </si>
  <si>
    <t>Alcaraz</t>
  </si>
  <si>
    <t>Aldea Brasilera</t>
  </si>
  <si>
    <t>Aldea María Luisa</t>
  </si>
  <si>
    <t xml:space="preserve">Aldea San Antonio </t>
  </si>
  <si>
    <t xml:space="preserve">Aranguren </t>
  </si>
  <si>
    <t>Basavilbaso</t>
  </si>
  <si>
    <t>Bovril</t>
  </si>
  <si>
    <t>Caseros</t>
  </si>
  <si>
    <t>Ceibas</t>
  </si>
  <si>
    <t>Cerrito</t>
  </si>
  <si>
    <t>Chajarí</t>
  </si>
  <si>
    <t xml:space="preserve">Colón </t>
  </si>
  <si>
    <t>Colonia Avellaneda</t>
  </si>
  <si>
    <t>Colonia Ayui</t>
  </si>
  <si>
    <t>Colonia Elía</t>
  </si>
  <si>
    <t>Concepción del Uruguay</t>
  </si>
  <si>
    <t xml:space="preserve">Concordia </t>
  </si>
  <si>
    <t>Conscripto Bernardi</t>
  </si>
  <si>
    <t>Crespo</t>
  </si>
  <si>
    <t xml:space="preserve">Diamante </t>
  </si>
  <si>
    <t>El Pingo</t>
  </si>
  <si>
    <t>Enrique Carbó</t>
  </si>
  <si>
    <t>Estancia Grande</t>
  </si>
  <si>
    <t xml:space="preserve">Federación </t>
  </si>
  <si>
    <t xml:space="preserve">Federal </t>
  </si>
  <si>
    <t>General Campos</t>
  </si>
  <si>
    <t>General Galarza</t>
  </si>
  <si>
    <t>General Ramirez</t>
  </si>
  <si>
    <t>Gilbert</t>
  </si>
  <si>
    <t>Gobernador Maciá</t>
  </si>
  <si>
    <t>Gobernador Mansilla</t>
  </si>
  <si>
    <t xml:space="preserve">Gualeguay </t>
  </si>
  <si>
    <t xml:space="preserve">Gualeguaychú </t>
  </si>
  <si>
    <t>Hasenkamp</t>
  </si>
  <si>
    <t>Hernandez</t>
  </si>
  <si>
    <t>Herrera</t>
  </si>
  <si>
    <t>Ibicuy</t>
  </si>
  <si>
    <t>La Criolla</t>
  </si>
  <si>
    <t>La Paz</t>
  </si>
  <si>
    <t>Larroque</t>
  </si>
  <si>
    <t>Libertador San Martin</t>
  </si>
  <si>
    <t>Los Charrúas</t>
  </si>
  <si>
    <t>Los Conquistadores</t>
  </si>
  <si>
    <t>Lucas Gonzalez</t>
  </si>
  <si>
    <t>María Grande</t>
  </si>
  <si>
    <t xml:space="preserve">Nogoya </t>
  </si>
  <si>
    <t xml:space="preserve">Oro Verde </t>
  </si>
  <si>
    <t>Paraná</t>
  </si>
  <si>
    <t>Piedras Blancas</t>
  </si>
  <si>
    <t xml:space="preserve">Pronunciamiento </t>
  </si>
  <si>
    <t>Pueblo Brugo</t>
  </si>
  <si>
    <t>Pueblo Gral. Belgrano</t>
  </si>
  <si>
    <t>Pueblo Liebig</t>
  </si>
  <si>
    <t>Puerto Yerúa</t>
  </si>
  <si>
    <t>Rosario del Tala</t>
  </si>
  <si>
    <t>San Benito</t>
  </si>
  <si>
    <t xml:space="preserve">San Gustavo </t>
  </si>
  <si>
    <t>San Jaime</t>
  </si>
  <si>
    <t xml:space="preserve">San José </t>
  </si>
  <si>
    <t>San José de Feliciano</t>
  </si>
  <si>
    <t xml:space="preserve">San Justo </t>
  </si>
  <si>
    <t>San Salvador</t>
  </si>
  <si>
    <t>Santa Ana</t>
  </si>
  <si>
    <t>Santa Anita</t>
  </si>
  <si>
    <t>Santa Elena</t>
  </si>
  <si>
    <t>Sauce de Luna</t>
  </si>
  <si>
    <t>Seguí</t>
  </si>
  <si>
    <t>Tabossi</t>
  </si>
  <si>
    <t>Ubajay</t>
  </si>
  <si>
    <t xml:space="preserve">Urdinarrain </t>
  </si>
  <si>
    <t xml:space="preserve">Valle María </t>
  </si>
  <si>
    <t>Viale</t>
  </si>
  <si>
    <t xml:space="preserve">Victoria </t>
  </si>
  <si>
    <t>Villa Clara</t>
  </si>
  <si>
    <t>Villa del Rosario</t>
  </si>
  <si>
    <t>Villa Domínguez</t>
  </si>
  <si>
    <t xml:space="preserve">Villa Elisa </t>
  </si>
  <si>
    <t>Villa Hernandarias</t>
  </si>
  <si>
    <t>Villa Mantero</t>
  </si>
  <si>
    <t>Villa Paranacito</t>
  </si>
  <si>
    <t>Villa Urquiza</t>
  </si>
  <si>
    <t>Villaguay</t>
  </si>
  <si>
    <t>Aclaraciones:</t>
  </si>
  <si>
    <r>
      <t xml:space="preserve">A medida que se iban recepcionando las planillas completas, se realizó un análisis de consistencia de la información en dos apectos: 1) la </t>
    </r>
    <r>
      <rPr>
        <u/>
        <sz val="12"/>
        <color theme="1"/>
        <rFont val="Century Gothic"/>
        <family val="2"/>
      </rPr>
      <t>exposición de los recursos dentro de las categorías</t>
    </r>
    <r>
      <rPr>
        <sz val="12"/>
        <color theme="1"/>
        <rFont val="Century Gothic"/>
        <family val="2"/>
      </rPr>
      <t xml:space="preserve"> que plantea la planilla 4 (impuestos, tasas, contribuciones, derechos, alquileres, multas, concesiones, otros); y 2) el</t>
    </r>
    <r>
      <rPr>
        <u/>
        <sz val="12"/>
        <color theme="1"/>
        <rFont val="Century Gothic"/>
        <family val="2"/>
      </rPr>
      <t xml:space="preserve"> contenido de los  datos requeridos en cada columna</t>
    </r>
    <r>
      <rPr>
        <sz val="12"/>
        <color theme="1"/>
        <rFont val="Century Gothic"/>
        <family val="2"/>
      </rPr>
      <t xml:space="preserve"> (base imponible, perioricidad, alicuotas, tasas, normativa, recaudación). En caso de observarse el faltante de algún dato o inconsistencias notorias, desde esta Dirección se solicitó al Municipio que completara y/o modificara la información, generando en aquellos casos que aceptaron las sugerencias, el intercambio con el Municipio en más de una oportunidad, tratando de mejorar la exposición de los datos. Posteriormente a las modificaciones, se solicitó se remitiera nuevamente la planilla (encontrándose casos donde los datos han quedado sin modificar).</t>
    </r>
  </si>
  <si>
    <t xml:space="preserve">     I. Se aclaró que la planilla debía completarse con los recursos correspondientes a la Adminsitración Pública No Financiera (tal como lo define el título de la planilla). En el caso de la Provincia de Entre Ríos, existen Municipios con Caja de Jubilaciones Propias y Organismos Descentralizados, algunos de los cuales manifestaron la dificultad de incorporar los recursos de esas instituciones, por lo cual expusieron aquellos al pie de la planilla.</t>
  </si>
  <si>
    <t xml:space="preserve">     II. Se solicitó que los recursos expuestos en cada categoría, se ordenen de mayor a menor recaudación.</t>
  </si>
  <si>
    <t xml:space="preserve">    III. Para la exposición dentro de cada categoría (Tasas, Contribuciones, Derechos, Alquileres, Multas, Concesiones), se sugirió analizar la Naturaleza de cada recurso, independientemente de como se encuentre mencionado en la Normativa.</t>
  </si>
  <si>
    <t xml:space="preserve">    V.  Se observaron diferencias de criterio en los registros de las columnas de "Tasa Fija" y "Tasa variable", por lo cual se sugirió la utilización del Manual metodológico de ésta planilla para ayudar a despejar las dudas.</t>
  </si>
  <si>
    <t xml:space="preserve">    VI. Los recursos  que se cobran sobre una tasa ( como los  recargos por mora o fondos municipales), se sugirió se consideren como un "accesorio", y que se expongan en la misma categoría que el recurso principal.</t>
  </si>
  <si>
    <r>
      <rPr>
        <sz val="11"/>
        <color theme="1"/>
        <rFont val="Century Gothic"/>
        <family val="2"/>
      </rPr>
      <t xml:space="preserve"> </t>
    </r>
    <r>
      <rPr>
        <u/>
        <sz val="11"/>
        <color theme="1"/>
        <rFont val="Century Gothic"/>
        <family val="2"/>
      </rPr>
      <t>Contacto por consultas :</t>
    </r>
  </si>
  <si>
    <t>Las planillas estan expuestas tal como fueron remitidas por los Municipios, y en algunas casos fueron reemplazadas por las enviadas posteriormente, en virtud de haber considerado sugerencias desde ésta Dirección, en cuanto a la exposición de la información.</t>
  </si>
  <si>
    <t>Si</t>
  </si>
  <si>
    <r>
      <rPr>
        <b/>
        <sz val="18"/>
        <color theme="1"/>
        <rFont val="Century Gothic"/>
        <family val="2"/>
      </rPr>
      <t xml:space="preserve">BASE UNICA  1er Semestre 2022 </t>
    </r>
    <r>
      <rPr>
        <b/>
        <sz val="21"/>
        <color theme="1"/>
        <rFont val="Century Gothic"/>
        <family val="2"/>
      </rPr>
      <t xml:space="preserve"> - </t>
    </r>
    <r>
      <rPr>
        <b/>
        <sz val="15"/>
        <color theme="1"/>
        <rFont val="Century Gothic"/>
        <family val="2"/>
      </rPr>
      <t>(información acumulada al 30/06/2022)</t>
    </r>
  </si>
  <si>
    <t>RECIBIDAS AL 30/09/2022</t>
  </si>
  <si>
    <t xml:space="preserve">En cuanto a las distintas consultas realizadas al momento de exponer los datos, se sugirieron algunos criterios a los fines de que lograr un registro uniforme, los cuales ya se vienen explicando en años anteriores desde que se ha puesto en vigencia la solicitud de este formulario, y sobre los cuales se sigue insistiendo para lograr con el paso de los ejercicios, mejoras en la consistencia de la información a publicar: </t>
  </si>
  <si>
    <t>PLANILLA N° 4 1er Semestre 2022</t>
  </si>
  <si>
    <r>
      <t xml:space="preserve">Esta base se confeccionó consolidando en un único archivo, la </t>
    </r>
    <r>
      <rPr>
        <b/>
        <sz val="12"/>
        <color theme="1"/>
        <rFont val="Century Gothic"/>
        <family val="2"/>
      </rPr>
      <t xml:space="preserve"> Planilla 4 "Recursos Propios "</t>
    </r>
    <r>
      <rPr>
        <sz val="12"/>
        <color theme="1"/>
        <rFont val="Century Gothic"/>
        <family val="2"/>
      </rPr>
      <t xml:space="preserve"> completada por cada municipio con la información </t>
    </r>
    <r>
      <rPr>
        <b/>
        <sz val="12"/>
        <color theme="1"/>
        <rFont val="Century Gothic"/>
        <family val="2"/>
      </rPr>
      <t>acumulada al 30/06/2022</t>
    </r>
    <r>
      <rPr>
        <sz val="12"/>
        <color theme="1"/>
        <rFont val="Century Gothic"/>
        <family val="2"/>
      </rPr>
      <t>. En dicha base en encuentran aquellos Municipios que remitieron ésta información respetando la fecha de corte establecida según por el  Régimen Federal de Responsabilidad Fiscal, que para éste periodo (1er Semestre 2022) es el 30/09/2022.</t>
    </r>
  </si>
  <si>
    <t>12:44hs</t>
  </si>
  <si>
    <t xml:space="preserve">Total Recaudación </t>
  </si>
  <si>
    <t>Mensual</t>
  </si>
  <si>
    <t>Sobre la deuda</t>
  </si>
  <si>
    <t>INTERÉS INVERSIONES FINANCIERAS:</t>
  </si>
  <si>
    <t>RECARGOS POR ATRASO EN EL PAGO:</t>
  </si>
  <si>
    <t>Por alumno</t>
  </si>
  <si>
    <t>INSCRIPCIÓN, REINSCRIPCIÓN, ARANCEL MENSUAL:</t>
  </si>
  <si>
    <t>INSTITUTO DE ESTUDIOS SUPERIORES SAN ANTONIO:</t>
  </si>
  <si>
    <t>ORGANISMOS DESCENTRALIZADOS:</t>
  </si>
  <si>
    <t>Según ocupación y cantidad de personas</t>
  </si>
  <si>
    <t xml:space="preserve">INGRESOS VARIOS (ALQUILERES) </t>
  </si>
  <si>
    <t>Sobre monto de inversión</t>
  </si>
  <si>
    <t>INTERESES Y RENTAS (Aplicaciones financieras)</t>
  </si>
  <si>
    <t>CAJA MUNICIPAL DE JUBILACIONES Y PENSIONES DE ALDEA SAN ANTONIO:</t>
  </si>
  <si>
    <t>INSTITUCIONES DE SEGURIDAD SOCIAL:</t>
  </si>
  <si>
    <t>Título VI-Cap.II</t>
  </si>
  <si>
    <t>Por unidad</t>
  </si>
  <si>
    <t>Según tamaño(Ø )</t>
  </si>
  <si>
    <t>TUBOS DE ALCANT. BLOQUES, LOZ. Y OTROS</t>
  </si>
  <si>
    <t>Ord.014/2012</t>
  </si>
  <si>
    <t>Sobre saldo préstamo</t>
  </si>
  <si>
    <t>INTERESES PRÉSTAMOS del  FONDO DE PROMOCIÓN ECONOMICA MUNICIPAL</t>
  </si>
  <si>
    <t>Título XIII</t>
  </si>
  <si>
    <t>Según trabajo realiz.</t>
  </si>
  <si>
    <t>TRABAJO POR CUENTA DE PARTICULARES</t>
  </si>
  <si>
    <t>Sin periodicidad</t>
  </si>
  <si>
    <t>Auspicios/otros</t>
  </si>
  <si>
    <t>OTROS INGRESOS</t>
  </si>
  <si>
    <t xml:space="preserve">    - OTROS</t>
  </si>
  <si>
    <t xml:space="preserve">    - CONCESIONES</t>
  </si>
  <si>
    <t>Título XVII</t>
  </si>
  <si>
    <t>Pago único</t>
  </si>
  <si>
    <t>Según infracción</t>
  </si>
  <si>
    <t>CÓDIGO BÁSICO MUNICIPAL DE FALTAS</t>
  </si>
  <si>
    <t>Título XVII-Cap VI</t>
  </si>
  <si>
    <t>50 00lts nafta super</t>
  </si>
  <si>
    <t>70 lts nafta super</t>
  </si>
  <si>
    <t>Lts.gasoil Seg/infracción</t>
  </si>
  <si>
    <t>MULTAS POR INFRACCIONES DE TRANSITO</t>
  </si>
  <si>
    <t>C.Fiscal Parte Gral.Cap.VII</t>
  </si>
  <si>
    <t>0,067% diario más multa de 2,5%</t>
  </si>
  <si>
    <t>Deuda</t>
  </si>
  <si>
    <t>RECARGOS POR MORA</t>
  </si>
  <si>
    <t xml:space="preserve">    - MULTAS</t>
  </si>
  <si>
    <t xml:space="preserve">    - ALQUILERES</t>
  </si>
  <si>
    <t>Título IX</t>
  </si>
  <si>
    <t>Por día de venta</t>
  </si>
  <si>
    <t>VENDEDORES AMBULANTES</t>
  </si>
  <si>
    <t>Título IV-Cap.II</t>
  </si>
  <si>
    <t>Por cinco años c/visación anual</t>
  </si>
  <si>
    <t>SALUD PUBLICA MUNICIPAL</t>
  </si>
  <si>
    <t>Título XI</t>
  </si>
  <si>
    <t>S/valor construcc.</t>
  </si>
  <si>
    <t>DERECHO DE EDIFICACIÓN</t>
  </si>
  <si>
    <t>Título VI</t>
  </si>
  <si>
    <t>Por años de concesión</t>
  </si>
  <si>
    <t>Según ubicación de nicho</t>
  </si>
  <si>
    <t>CEMENTERIO</t>
  </si>
  <si>
    <t>Título XVI</t>
  </si>
  <si>
    <t>s/deuda</t>
  </si>
  <si>
    <t>DISPOSICIONES COMPL.Y TRANSITORIAS</t>
  </si>
  <si>
    <t>Título XII</t>
  </si>
  <si>
    <t>Por trámite</t>
  </si>
  <si>
    <t>Según trámite</t>
  </si>
  <si>
    <t>ACTUACIONES ADMINISTRATIVAS</t>
  </si>
  <si>
    <t>Título VI-Cap.I</t>
  </si>
  <si>
    <t>22 litros de gas oil</t>
  </si>
  <si>
    <t>1 litro de gas oil</t>
  </si>
  <si>
    <t>Por hora</t>
  </si>
  <si>
    <t>S/equipo contratado</t>
  </si>
  <si>
    <t>USO DE EQUIPOS E INSTALACIONES:</t>
  </si>
  <si>
    <t xml:space="preserve">    - DERECHOS</t>
  </si>
  <si>
    <t>Ord.411/2019</t>
  </si>
  <si>
    <t>Hasta 10 cuotas</t>
  </si>
  <si>
    <t>Por conección</t>
  </si>
  <si>
    <t>Red Cloacal</t>
  </si>
  <si>
    <t>Ord.473/2021</t>
  </si>
  <si>
    <t>-</t>
  </si>
  <si>
    <t xml:space="preserve">Cordón cuneta con Afectación </t>
  </si>
  <si>
    <t>Ord.043/2012</t>
  </si>
  <si>
    <t>Hasta 36 cuotas</t>
  </si>
  <si>
    <t>Por mts. Lineal frente</t>
  </si>
  <si>
    <t>Cordón cuneta y veredas</t>
  </si>
  <si>
    <t xml:space="preserve">    - CONTRIBUCIONES</t>
  </si>
  <si>
    <t>Titulo XII</t>
  </si>
  <si>
    <t>Bimestral/Semestral</t>
  </si>
  <si>
    <t>TGI Y TISHPS</t>
  </si>
  <si>
    <t>FONDO MUNICIPAL DE PROMOCIÓN DE LA COMUNIDAD Y TURISMO</t>
  </si>
  <si>
    <t>Título I</t>
  </si>
  <si>
    <t xml:space="preserve">Por tramo de Avalúo, Tasa fija más alícuota </t>
  </si>
  <si>
    <t>TASA GENERAL INMOBILIARIA : Planta 1 a 7:</t>
  </si>
  <si>
    <t>Título III</t>
  </si>
  <si>
    <t>Ingesos brutos</t>
  </si>
  <si>
    <t>TASA CONTR.ÚNICA DISTR.DE ELECTRICIDAD</t>
  </si>
  <si>
    <t>Título V</t>
  </si>
  <si>
    <t>TASA POR ALUMBRADO PÚBLICO</t>
  </si>
  <si>
    <t>Título II</t>
  </si>
  <si>
    <t>Bimestral</t>
  </si>
  <si>
    <t xml:space="preserve">TASA I.S.H.P Y SEGURIDAD </t>
  </si>
  <si>
    <t xml:space="preserve">    - TASAS</t>
  </si>
  <si>
    <t xml:space="preserve">    - IMPUESTOS</t>
  </si>
  <si>
    <t>MUNICIPIO DE ALDEA SAN ANTONIO:</t>
  </si>
  <si>
    <t>MÁXIMA</t>
  </si>
  <si>
    <t>MÍNIMA</t>
  </si>
  <si>
    <t>RECAUDACIÓN</t>
  </si>
  <si>
    <t>Código Fiscal-Ord. Tributaria Anual 2022-Ord.482/2021</t>
  </si>
  <si>
    <t>TASA VARIABLE</t>
  </si>
  <si>
    <t>TASA FIJA</t>
  </si>
  <si>
    <t>ALÍCUOTAS ESPECIALES</t>
  </si>
  <si>
    <t>ALÍCUOTA GENERAL</t>
  </si>
  <si>
    <t>PERIODICIDAD</t>
  </si>
  <si>
    <t>BASE IMPONIBLE</t>
  </si>
  <si>
    <t>RECURSOS PROPIOS DE LOS MUNICIPIOS</t>
  </si>
  <si>
    <t>(2.7)</t>
  </si>
  <si>
    <t>(2.6)</t>
  </si>
  <si>
    <t>(2.5)</t>
  </si>
  <si>
    <t>(2.4)</t>
  </si>
  <si>
    <t>(2.3)</t>
  </si>
  <si>
    <t>(2.2)</t>
  </si>
  <si>
    <t>(2.1)</t>
  </si>
  <si>
    <t>(1)</t>
  </si>
  <si>
    <r>
      <t xml:space="preserve">CONSIGNAR EN CADA CELDA SI ES </t>
    </r>
    <r>
      <rPr>
        <b/>
        <sz val="12"/>
        <rFont val="Calibri"/>
        <family val="2"/>
      </rPr>
      <t>%</t>
    </r>
    <r>
      <rPr>
        <sz val="12"/>
        <rFont val="Calibri"/>
        <family val="2"/>
      </rPr>
      <t xml:space="preserve"> o </t>
    </r>
    <r>
      <rPr>
        <b/>
        <sz val="12"/>
        <rFont val="Calibri"/>
        <family val="2"/>
      </rPr>
      <t>$</t>
    </r>
  </si>
  <si>
    <t>COMPLETAR ORDENANDO LA RECAUDACIÓN DE MAYOR A MENOR (en cada grupo de recursos)</t>
  </si>
  <si>
    <t>CRITERIOS PARA COMPLETAR LA PLANILLA:</t>
  </si>
  <si>
    <t>RECURSOS PROPIOS DEL MUNICIPIO</t>
  </si>
  <si>
    <r>
      <t>PERÍODO :ACUMULADO AL 30-06-2022 CON LA ORDENANZA TRIBUTARIA VIGENTE A ESA FECHA.</t>
    </r>
    <r>
      <rPr>
        <sz val="13"/>
        <color indexed="8"/>
        <rFont val="Calibri"/>
        <family val="2"/>
      </rPr>
      <t xml:space="preserve"> </t>
    </r>
  </si>
  <si>
    <t>Planilla Nº 4</t>
  </si>
  <si>
    <t>ADMINISTRACION PUBLICA MUNICIPAL NO FINANCIERA</t>
  </si>
  <si>
    <t>ALDEA SAN ANTONIO</t>
  </si>
  <si>
    <t>MUNICIPIO:  BASAVILBASO</t>
  </si>
  <si>
    <t>(2.8) PERÍODO: Ejecutado al 30/06/2022</t>
  </si>
  <si>
    <t>RECURSOS PROPIOS DEL MUNICIPIO DE BASAVILBASO</t>
  </si>
  <si>
    <t>NORMATIVA</t>
  </si>
  <si>
    <t>Tasa por Insp.Sanit.Higiene Profilaxis y Seguridad</t>
  </si>
  <si>
    <t>S/DECLARACIÓN JURADA</t>
  </si>
  <si>
    <t>ORD. N° 673/22</t>
  </si>
  <si>
    <t>Insp.periódica de Inst.y Med.Eléct.y Reparac.de lámparas</t>
  </si>
  <si>
    <t>PRECIO BÁSICO DEL KW</t>
  </si>
  <si>
    <t>Contribución Municipal ENERSA</t>
  </si>
  <si>
    <t>MONTO FACTURADO ENERGÍA ELÉCTRICA</t>
  </si>
  <si>
    <t>Alumbrado Público</t>
  </si>
  <si>
    <t>MONTO CONSUMIDO ENERGÍA ELÉCTRICA prorrateado</t>
  </si>
  <si>
    <t>Tasa Obras Sanitarias</t>
  </si>
  <si>
    <t>M2</t>
  </si>
  <si>
    <t>bimestral</t>
  </si>
  <si>
    <t>Ingresos Varios</t>
  </si>
  <si>
    <t>varios</t>
  </si>
  <si>
    <t>Unico</t>
  </si>
  <si>
    <t>Tasa General Inmobiliaria</t>
  </si>
  <si>
    <t>Fondo Municipal</t>
  </si>
  <si>
    <t>MONTO TASAS Y DERECHOS</t>
  </si>
  <si>
    <t>Tasa Obras Sanitarias atrasada</t>
  </si>
  <si>
    <t>varia de acuerdo el periodo</t>
  </si>
  <si>
    <t>Tasa General Inmobiliaria atrasada</t>
  </si>
  <si>
    <t>Cementerio</t>
  </si>
  <si>
    <t>EL MONTO DEL DERECHO SURGE DE CADA ORD.IMPOSITIVA</t>
  </si>
  <si>
    <t>Mensual,bim,bi-anual o único</t>
  </si>
  <si>
    <t>Fondo para Redes</t>
  </si>
  <si>
    <t>TASA SERVICIO SANITARIO MUNICIPAL</t>
  </si>
  <si>
    <t>16/84</t>
  </si>
  <si>
    <t>Fondo para Bomberos Voluntarios</t>
  </si>
  <si>
    <t>MONTO SSM-TGI Y  COMERCIO</t>
  </si>
  <si>
    <t>Fondo Parque Industrial</t>
  </si>
  <si>
    <t>MONTO TASA INSP.SANIT.HIG. PROF. Y SEG.</t>
  </si>
  <si>
    <t>Tasa por Insp.Sanit.Higiene Profilaxis y Seguridad Atrasada</t>
  </si>
  <si>
    <t>Fondo deportistas</t>
  </si>
  <si>
    <t xml:space="preserve">Monto Tasa </t>
  </si>
  <si>
    <t>Retenc. TISHPS</t>
  </si>
  <si>
    <t>Monto Orden de pago</t>
  </si>
  <si>
    <t>cada pago</t>
  </si>
  <si>
    <t>DTO.1978/2003</t>
  </si>
  <si>
    <t>Construcciones</t>
  </si>
  <si>
    <t>s/Tasación</t>
  </si>
  <si>
    <t>Publicidad y Propaganda</t>
  </si>
  <si>
    <t>Cartel, Letro o Superficie</t>
  </si>
  <si>
    <t>Anual</t>
  </si>
  <si>
    <t>Convenio con Cooperativa Eléctrica</t>
  </si>
  <si>
    <t>Contribución por Mejoras-Alumbrado Público</t>
  </si>
  <si>
    <t>Monto Obra</t>
  </si>
  <si>
    <t>Carnet de conductor</t>
  </si>
  <si>
    <t>POR SOLICITUD O RENOVACIÓN</t>
  </si>
  <si>
    <t>MIN.:1 AÑO-MAX:5 AÑOS</t>
  </si>
  <si>
    <t>Vendedores Ambulantes</t>
  </si>
  <si>
    <t>POR DÍA</t>
  </si>
  <si>
    <t>3 U.F.M</t>
  </si>
  <si>
    <t>22 U.F.M</t>
  </si>
  <si>
    <t>Polideportivo Municipal</t>
  </si>
  <si>
    <t>POR HORA-POR PARTIDO-POR DÍA</t>
  </si>
  <si>
    <t>1 U.F.M</t>
  </si>
  <si>
    <t>10 U.F.M</t>
  </si>
  <si>
    <t>Actuaciones Administrativas</t>
  </si>
  <si>
    <t>unico</t>
  </si>
  <si>
    <t>Colectivo Municipal</t>
  </si>
  <si>
    <t>POR CADA VIAJE</t>
  </si>
  <si>
    <t>31 U.F.M</t>
  </si>
  <si>
    <t>Registro de títulos de propiedad</t>
  </si>
  <si>
    <t>VALOR DE LA PROPIEDAD</t>
  </si>
  <si>
    <t>Espectáculos Públicos</t>
  </si>
  <si>
    <t>S/ Entradas</t>
  </si>
  <si>
    <t>Día</t>
  </si>
  <si>
    <t>Ocupación de la vía pública</t>
  </si>
  <si>
    <t>VARIOS(poste-distribuidor-metro lineal)</t>
  </si>
  <si>
    <t>DIARIA O ANUAL</t>
  </si>
  <si>
    <t>Uso de Equipos e Instalaciones</t>
  </si>
  <si>
    <t>s/maquinaria o espacio</t>
  </si>
  <si>
    <t>2 U.F.M</t>
  </si>
  <si>
    <t>42 U.F.M</t>
  </si>
  <si>
    <t>Multas por faltas</t>
  </si>
  <si>
    <t>s/la infracción cometida</t>
  </si>
  <si>
    <t>Recargo por mora</t>
  </si>
  <si>
    <t>Multas tributarias (Deber formal)</t>
  </si>
  <si>
    <t>CAT. 1- BASICO MUNICIPAL</t>
  </si>
  <si>
    <t>DTO.N°4496/79-DTO N°1564/22</t>
  </si>
  <si>
    <t>Locación de inmuebles</t>
  </si>
  <si>
    <t>por horas</t>
  </si>
  <si>
    <t>Venta de Activos</t>
  </si>
  <si>
    <t>s/VALUACION DEL TERRENO</t>
  </si>
  <si>
    <t>ORD.N°35/03</t>
  </si>
  <si>
    <t>Recupero de cuotas viviendas</t>
  </si>
  <si>
    <t>POR CANT. DE DORMIT. Y SE ACT. ANUALMENTE S/VARIAC.DE HABERES</t>
  </si>
  <si>
    <t>ORD.N° 532/18</t>
  </si>
  <si>
    <t>1) Con respecto a la observación de la tasa general inmobiliaria, se pasa a informar que, dicha tasa se realiza a través de una nueva fórmula.</t>
  </si>
  <si>
    <t>A continuación detallo la misma:</t>
  </si>
  <si>
    <t xml:space="preserve">ARTÍCULO 7º: FIJESE a partir del 3° bimestre/22 los siguientes valores, de la Tasa General Inmobiliaria,  conforme Ordenanza 670/21, a saber: </t>
  </si>
  <si>
    <t xml:space="preserve">1) Recolección de residuos x M² superficie edificada……Mínimo 35 M²……...$     1,08.- </t>
  </si>
  <si>
    <t xml:space="preserve">2) Mantenimiento de calles – monto fijo - .……………………………………...$ 392,92.- </t>
  </si>
  <si>
    <t xml:space="preserve">3) Recolección de ramas y pastos x M² superficie edificada…Mínimo 80 M².....$     0,11.- </t>
  </si>
  <si>
    <t xml:space="preserve">4) Camión regador – monto fijo - ………………….………………………........$   93,60.- </t>
  </si>
  <si>
    <t xml:space="preserve">5) Alumbrado público – monto fijo - ...………………………………………….$  63,02.- </t>
  </si>
  <si>
    <t xml:space="preserve">6) Barrido de calles – monto fijo - ………………………………………………$ 241,72.- </t>
  </si>
  <si>
    <t xml:space="preserve">7) Bacheo – monto fijo - …………………………………………………………$  78,05.- </t>
  </si>
  <si>
    <t xml:space="preserve">En base a ésta formula y a los M2 se realizan los cálculos correspondientes para la determinación de dicha tasa. </t>
  </si>
  <si>
    <t>2)  De acuerdo a las siguientes observaciones se aclara que la Ordenanza Impositiva Anual no es la misma que años anteriores, por tal motivo no coinciden las tasas mínimas. Se adjunta la misma</t>
  </si>
  <si>
    <t>MUNICIPIO:  CEIBAS</t>
  </si>
  <si>
    <r>
      <t xml:space="preserve">(2.8) PERÍODO: </t>
    </r>
    <r>
      <rPr>
        <b/>
        <sz val="12"/>
        <color indexed="8"/>
        <rFont val="Calibri"/>
        <family val="2"/>
      </rPr>
      <t xml:space="preserve"> Ejecutado al 30/06/2022</t>
    </r>
  </si>
  <si>
    <t>DERECHO DE REGISTRO E INSPECCION</t>
  </si>
  <si>
    <t>Ingresos brutos</t>
  </si>
  <si>
    <t>MENSUAL</t>
  </si>
  <si>
    <t>ORD.22/21</t>
  </si>
  <si>
    <t>TASA GENERAL INMOBILIARIA</t>
  </si>
  <si>
    <t>Destino</t>
  </si>
  <si>
    <t>AÑO/BIM</t>
  </si>
  <si>
    <t>TASA INSPECCION DE ANTENAS</t>
  </si>
  <si>
    <t>Ubicación</t>
  </si>
  <si>
    <t>ANUAL</t>
  </si>
  <si>
    <t>TASA HABILITACION DE ANTENAS</t>
  </si>
  <si>
    <t>UNICO</t>
  </si>
  <si>
    <t>CONTRIB.POR MEJORA-CORDON CUNETA</t>
  </si>
  <si>
    <t>METRO LINEAL</t>
  </si>
  <si>
    <t>DERECHO ANUAL DE CEMENTERIO</t>
  </si>
  <si>
    <t>CEMENTERIO-CONCESIONES</t>
  </si>
  <si>
    <t>4 Y 20 AÑOS</t>
  </si>
  <si>
    <r>
      <t xml:space="preserve">MUNICIPIO: </t>
    </r>
    <r>
      <rPr>
        <b/>
        <sz val="12"/>
        <rFont val="Calibri"/>
        <family val="2"/>
      </rPr>
      <t>CERRITO</t>
    </r>
  </si>
  <si>
    <t>PERÍODO: EJECUCION AL 30/06/2022</t>
  </si>
  <si>
    <t>HIGIENE, PROFILAXIS Y SEGURIDAD</t>
  </si>
  <si>
    <t>INGRESOS BRUTOS DECLARADOS</t>
  </si>
  <si>
    <t>CTM ART. 213 AL 230</t>
  </si>
  <si>
    <t>GENERAL INMOBILIARIA</t>
  </si>
  <si>
    <t>AVALUO</t>
  </si>
  <si>
    <t>BIMESTRAL</t>
  </si>
  <si>
    <t xml:space="preserve">POR ZONA </t>
  </si>
  <si>
    <t>CTM ART. 83 AL 102</t>
  </si>
  <si>
    <t>SERVICIO RED CLOACAL</t>
  </si>
  <si>
    <t>NO</t>
  </si>
  <si>
    <t>CTM ART. 113 AL 124</t>
  </si>
  <si>
    <t>ESPECTACULOS PUBLICOS</t>
  </si>
  <si>
    <t>OCUPACION</t>
  </si>
  <si>
    <t>CTM ART. 149 AL 155</t>
  </si>
  <si>
    <t>RECUPERO OBRA PAVIMENTO</t>
  </si>
  <si>
    <t>CTM ART. 112</t>
  </si>
  <si>
    <t>RECUPERO OBRA CLOACAS</t>
  </si>
  <si>
    <t>M2 DEL INMUEBLE</t>
  </si>
  <si>
    <t>RESIDENCIA GERONTOLOGICA</t>
  </si>
  <si>
    <t>ADULTO MAYOR</t>
  </si>
  <si>
    <t>CTM ART. 240 AL 242</t>
  </si>
  <si>
    <t>DIARIO</t>
  </si>
  <si>
    <t>CTM ART. 234 AL 237</t>
  </si>
  <si>
    <t>DERECHO DE CEMENTERIO</t>
  </si>
  <si>
    <t>DESTINO</t>
  </si>
  <si>
    <t>CTM ART.185 AL 191</t>
  </si>
  <si>
    <t>DERECHO DE CONSTRUCCION</t>
  </si>
  <si>
    <t>PRESENTACION</t>
  </si>
  <si>
    <t>CTM ART. 103 AL 108</t>
  </si>
  <si>
    <t>CTM ART. 181 AL 184</t>
  </si>
  <si>
    <t>CUOTA BIBLIOTECA PUBLICA</t>
  </si>
  <si>
    <t>CTM ART. 198</t>
  </si>
  <si>
    <t>INSPECCION</t>
  </si>
  <si>
    <t>CTM ART. 125 AL 148</t>
  </si>
  <si>
    <t>MULTAS Y RECARGOS</t>
  </si>
  <si>
    <t>CTM ART. 25 AL 41</t>
  </si>
  <si>
    <t>VIVIENDAS CIRCULO CERRADO</t>
  </si>
  <si>
    <t>ORDENANZA 957 DEL 26/07/2017</t>
  </si>
  <si>
    <t>FONDO COMUNITARIO</t>
  </si>
  <si>
    <t>CTM ART. 238 AL 239</t>
  </si>
  <si>
    <t>REFACCION DE VIVIENDAS CIRCULO CERRADO</t>
  </si>
  <si>
    <t>ORDENANZA 712 DEL 28/12/2006</t>
  </si>
  <si>
    <t>INGRESOS VARIOS</t>
  </si>
  <si>
    <t>ESPORADICO</t>
  </si>
  <si>
    <t>INGRESOS QUE NO SE AJUSTAN A NINGUNA CUENTA DEL CODIGO TRIBUTARIO</t>
  </si>
  <si>
    <t>VENTA DE ACTIVO FIJO</t>
  </si>
  <si>
    <t>ORDENANZA 1084 DEL 09/12/2021</t>
  </si>
  <si>
    <t>VENTA TERRENOS PARQUE INDUSTRIAL</t>
  </si>
  <si>
    <t>ORDENANZA 888 DEL 14/05/2014</t>
  </si>
  <si>
    <t>RECUPERO PRESTAMOS PYMEP</t>
  </si>
  <si>
    <t>CUOTAS POR CONVENIO</t>
  </si>
  <si>
    <t>CONVENIOS ESPECIFICOS PARA CADA PRESTAMO</t>
  </si>
  <si>
    <t>* UNIDAD FIJA (UF): 1 litro de nafta es igual a 1 unidad fija.</t>
  </si>
  <si>
    <t>* CTM: CODIGO TRIBUTARIO MUNICIPAL ORDENANZA Nº 1082 - 09/12/2021.</t>
  </si>
  <si>
    <t>MUNICIPIO: CHAJARI</t>
  </si>
  <si>
    <t>(2.8) PERÍODO: Ejecutado al 30-06-2021</t>
  </si>
  <si>
    <t>RECURSOS PROPIOS DEL MUNICIPIO CHAJARI</t>
  </si>
  <si>
    <t>TASA INSPECCION SANITARIA, HIGIENE, PROFILAXIS Y SEGURIDAD</t>
  </si>
  <si>
    <t>FACTURACION</t>
  </si>
  <si>
    <t>Ord. 1704 Dec. 1240/2021</t>
  </si>
  <si>
    <t>FONDO INFRAESTRUCTURA</t>
  </si>
  <si>
    <t>TASAS</t>
  </si>
  <si>
    <t>TASA POR SERVICIOS SANITARIOS</t>
  </si>
  <si>
    <t>INSPECCION INSTALACIONES ELECTRICAS</t>
  </si>
  <si>
    <t>FONDO DEFENSA CIVIL</t>
  </si>
  <si>
    <t>2 LTS. NAFTA</t>
  </si>
  <si>
    <t>CONTROL BROMATOLOGICO</t>
  </si>
  <si>
    <t>DESINFECCION, DESINSECTACION Y DESRATIZACION</t>
  </si>
  <si>
    <t>UNICA</t>
  </si>
  <si>
    <t>RECOLECCION RESIDUOS PATOLOGICOS</t>
  </si>
  <si>
    <t>CONTRIBUCION POR MEJORAS PAVIMENTO</t>
  </si>
  <si>
    <t>MTS. DE FRENTE</t>
  </si>
  <si>
    <t>DERECHO OFICINA Y SELLADOS</t>
  </si>
  <si>
    <t>CONSTRUCCIONES</t>
  </si>
  <si>
    <t>SERVICIOS SANITARIOS</t>
  </si>
  <si>
    <t>OCUPACION VIA PUBLICA</t>
  </si>
  <si>
    <t>QUINQUENIO</t>
  </si>
  <si>
    <t>RESIDENCIA ESTUDIANTIL</t>
  </si>
  <si>
    <t>MULTAS CODIGO DE FALTAS</t>
  </si>
  <si>
    <t>TASA</t>
  </si>
  <si>
    <t>CANON VARIOS</t>
  </si>
  <si>
    <t>CANON MERCADO POPULAR</t>
  </si>
  <si>
    <t>TASA POR SERVICIOS DE SALUD</t>
  </si>
  <si>
    <t>O.A.A.V.</t>
  </si>
  <si>
    <t>INGRESOS DIRECCION DE SERVICIOS PUBLICOS</t>
  </si>
  <si>
    <t>UN SOL PARA TU HOGAR</t>
  </si>
  <si>
    <t>MICROCREDITOS</t>
  </si>
  <si>
    <t>INGRESOS BALNEARIO CAMPING</t>
  </si>
  <si>
    <t>PROGRAMA CHAJARI CONECTA</t>
  </si>
  <si>
    <t>CHAJARI EN BICI</t>
  </si>
  <si>
    <t>INGRESOS DIRECCION DE DEPORTES</t>
  </si>
  <si>
    <t>MEDIDORES AGUA</t>
  </si>
  <si>
    <t>TOTAL</t>
  </si>
  <si>
    <t>MUNICIPIO:  MUNICIPIO DE COLONIA AVELLANEDA</t>
  </si>
  <si>
    <r>
      <t xml:space="preserve">(2.8) PERÍODO: </t>
    </r>
    <r>
      <rPr>
        <b/>
        <sz val="12"/>
        <color indexed="8"/>
        <rFont val="Calibri"/>
        <family val="2"/>
      </rPr>
      <t xml:space="preserve"> Ejecutado al 30/06/</t>
    </r>
    <r>
      <rPr>
        <b/>
        <sz val="12"/>
        <color indexed="10"/>
        <rFont val="Calibri"/>
        <family val="2"/>
      </rPr>
      <t>2022</t>
    </r>
  </si>
  <si>
    <t xml:space="preserve">TASA INSP. PERIODICA Y MANT. DEL ALUM. PUBLICO </t>
  </si>
  <si>
    <t>KWH</t>
  </si>
  <si>
    <t>Ord. 007/2022</t>
  </si>
  <si>
    <t>TASA POR INSPECCION SANITARIA,HIGIENE, PROFILAXIS Y SEGURIDAD</t>
  </si>
  <si>
    <t>INGRESOS BRUTOS</t>
  </si>
  <si>
    <t>ANUAL Y TRIMESTRAL</t>
  </si>
  <si>
    <t>TASA POR OBRAS SANITARIAS</t>
  </si>
  <si>
    <t>M3 CONSUMIDOS</t>
  </si>
  <si>
    <t>BIMESTRAL CON 2 CUOTAS MENSUALES</t>
  </si>
  <si>
    <t>CONTRIBUCION PARA OBRA PUBLICA (FONDOS MUN.)</t>
  </si>
  <si>
    <t>CARNET DE CONDUCIR</t>
  </si>
  <si>
    <t>DIARIA</t>
  </si>
  <si>
    <t>MULTAS INSPECCIONES</t>
  </si>
  <si>
    <t>12 lts de nafta para el pago voluntario</t>
  </si>
  <si>
    <t xml:space="preserve">Resol. de la Junta de Fomento 26/09 </t>
  </si>
  <si>
    <t>23 unidades de multa para retito y 1 (1/2) UM por cada dia de estadia</t>
  </si>
  <si>
    <t xml:space="preserve"> y Ord 101/2014</t>
  </si>
  <si>
    <t>INTERESES POR MORA</t>
  </si>
  <si>
    <t>OTROS SERVICIOS</t>
  </si>
  <si>
    <t>OTROS RECURSOS TRIBUTARIOS PROPIOS</t>
  </si>
  <si>
    <t>MUNICIPIO:  COLONIA AYUÍ</t>
  </si>
  <si>
    <t>NO EXISTEN</t>
  </si>
  <si>
    <t>ALUMBRADO PÚBLICO</t>
  </si>
  <si>
    <t>Consumo</t>
  </si>
  <si>
    <t>Ord.168.01/2006</t>
  </si>
  <si>
    <t>mts2</t>
  </si>
  <si>
    <t>0,3 o/o</t>
  </si>
  <si>
    <t>Ord.567/21</t>
  </si>
  <si>
    <t>SEGURIDAD E HIGIENE</t>
  </si>
  <si>
    <t>Ventas netas</t>
  </si>
  <si>
    <t>1,1 o/o</t>
  </si>
  <si>
    <t>0,1 o/o</t>
  </si>
  <si>
    <t>0,6 o/o</t>
  </si>
  <si>
    <t>$</t>
  </si>
  <si>
    <t>Unidad</t>
  </si>
  <si>
    <t>Solicitud contrib.</t>
  </si>
  <si>
    <t>Ord. 567/21</t>
  </si>
  <si>
    <t>CONEXIÓN CLOACAS</t>
  </si>
  <si>
    <t>x</t>
  </si>
  <si>
    <t>USO DE EQUIPOS E INSTALACIONES -Alquiler de equipos</t>
  </si>
  <si>
    <t>Hora</t>
  </si>
  <si>
    <t>JUZGADO DE FALTAS</t>
  </si>
  <si>
    <t>Unidad de Multa</t>
  </si>
  <si>
    <t>Infracción</t>
  </si>
  <si>
    <t>Unidades</t>
  </si>
  <si>
    <t>Ord.422-09/2016</t>
  </si>
  <si>
    <r>
      <rPr>
        <b/>
        <sz val="8"/>
        <rFont val="Calibri"/>
        <family val="2"/>
      </rPr>
      <t>(2.8) PERÍODO: con el presupuesto anual, al 30 de Junio y al 31 de diciembre</t>
    </r>
  </si>
  <si>
    <t>MUNICIPIO DE COLONIA ELIA</t>
  </si>
  <si>
    <t>ALICUOTA GENERAL</t>
  </si>
  <si>
    <t>PRESUPUESTO</t>
  </si>
  <si>
    <t>RECUPERO PLAN VIVIENDAS- CONSORCIO</t>
  </si>
  <si>
    <t>contratos celebrados entre las partes</t>
  </si>
  <si>
    <t>ORDENANZA 013/19</t>
  </si>
  <si>
    <t>TASA MUNICIPAL CEMENTERIO</t>
  </si>
  <si>
    <t>A PEDIDO</t>
  </si>
  <si>
    <t>ORDENANZA 030/21</t>
  </si>
  <si>
    <t>(CON ACTUALIZACION AJUSTABLE SEMESTRAL DE ACUERDO A VALOR BOLSA CEMENTO)</t>
  </si>
  <si>
    <t>TASA DE ANTENAS PORTANTES</t>
  </si>
  <si>
    <t>INSPECCION ANUAL ANTENAS- HABILITACION Y ESTUDIO DE FACTIBILIDAD</t>
  </si>
  <si>
    <t>CONTRATO</t>
  </si>
  <si>
    <t xml:space="preserve">TASA CONSUMO ENERGIA ELECTRICA </t>
  </si>
  <si>
    <t>DERECHOS VENTA AMBULANTE</t>
  </si>
  <si>
    <t>X VENTA AL MES $ 2000. DIARIO $ 1000</t>
  </si>
  <si>
    <t>SERVICIOS VISACION SUBDIVISION TERRENOS</t>
  </si>
  <si>
    <t>A PEDIDO DEL USUARIO</t>
  </si>
  <si>
    <t>SERVICIO VISACION PLANOS DE MENSURA</t>
  </si>
  <si>
    <t>SERVICIOS ADMINISTRATIVOS</t>
  </si>
  <si>
    <t>SERVICIO CERTIFICADO APTITUD AMBIENTAL</t>
  </si>
  <si>
    <t>SERVICIO DESAGOTE</t>
  </si>
  <si>
    <t>DERECHO DE CONEXIÓN RED CLOACAL</t>
  </si>
  <si>
    <t>CAMARAS DE INSPECCION- REJILLAS CLOACAS</t>
  </si>
  <si>
    <t>$ 4000- $ 1500</t>
  </si>
  <si>
    <t>OTORGAMIENTO LICENCIAS DE CONDUCIR</t>
  </si>
  <si>
    <t>( CON ACTUALIZACION SEMESTRAL DE ACUERDO A VALOR LITRO COMBUSTIBLE DIESEL YPF)</t>
  </si>
  <si>
    <t>DERECHO DE EXTRACCION Y EXPLOTACION DE LAS ACTIVIDADES MINERAS DESARROLLADAS EN CNIA ELIA</t>
  </si>
  <si>
    <t>S/ DDJJ</t>
  </si>
  <si>
    <t>ORDENANZA 031/21</t>
  </si>
  <si>
    <t>CONTRATO PERMISO DE USO- CEMENTERIO NICHOS</t>
  </si>
  <si>
    <t>ORDENANZA 012/21</t>
  </si>
  <si>
    <t>NICHOS FILA SUPERIOR E INFERIOR  10 AÑOS</t>
  </si>
  <si>
    <t>60 BOLSAS DE CEMENTO</t>
  </si>
  <si>
    <t xml:space="preserve"> NICHOS FILA INTERMEDIAS POR 10 AÑOS</t>
  </si>
  <si>
    <t>65 BOLSAS DE CEMENTO</t>
  </si>
  <si>
    <t>NICHOS RECUPERADOS</t>
  </si>
  <si>
    <t>30 % DEL VALOR DEL NICHO SUPERIOR E INFERIOR</t>
  </si>
  <si>
    <t>VALOR PARCELA TUMBA-FOSA</t>
  </si>
  <si>
    <t>VALOR DE PARCELA PANTEON COSTO EQUIVALENTE A 56 BOLSAS DE CEMENTO</t>
  </si>
  <si>
    <t>DESCUENTOS OBTENIDOS</t>
  </si>
  <si>
    <t>RECUPERO TARJETA CREDITO</t>
  </si>
  <si>
    <t>COMISION POR COBRO ENTRE RIOS SERVICIOS</t>
  </si>
  <si>
    <t>convenio con bersa</t>
  </si>
  <si>
    <t>MULTAS</t>
  </si>
  <si>
    <t>VENTA DE PLIEGOS</t>
  </si>
  <si>
    <t>RECUPERO SUBSIDIOS REINTEGRABLES</t>
  </si>
  <si>
    <t xml:space="preserve">EJECUTADO </t>
  </si>
  <si>
    <r>
      <t xml:space="preserve">RECURSOS PROPIOS DEL :      </t>
    </r>
    <r>
      <rPr>
        <b/>
        <u/>
        <sz val="16"/>
        <rFont val="Calibri"/>
        <family val="2"/>
        <scheme val="minor"/>
      </rPr>
      <t>MUNICIPIO DE CRESPO</t>
    </r>
  </si>
  <si>
    <t>EJECUTADO  2022</t>
  </si>
  <si>
    <t>Tasa Higiene y Seguridad</t>
  </si>
  <si>
    <t>DDJJ</t>
  </si>
  <si>
    <t>Regimen Simplificado  $ 360 p/mes</t>
  </si>
  <si>
    <t>n/a</t>
  </si>
  <si>
    <t>Ord 73/20 ,74/20  y 32/18</t>
  </si>
  <si>
    <t>M2 LINEAL   Valuacion fiscal</t>
  </si>
  <si>
    <t>BIMESTRAL, TERCIO. Y ANUAL</t>
  </si>
  <si>
    <t>Serv. Agua y Cloacas</t>
  </si>
  <si>
    <t>Valuacion fiscal - Consumo agua</t>
  </si>
  <si>
    <t>BIMESTRAL, TRIM. Y ANUAL</t>
  </si>
  <si>
    <t>Por Bimestre $ 888,77</t>
  </si>
  <si>
    <t>Instal. Electromecanicas</t>
  </si>
  <si>
    <t>Consumo Energia</t>
  </si>
  <si>
    <t>Sist.A.Prev.Ord.55/98  ORD 26/17</t>
  </si>
  <si>
    <t>Mensual según convenio</t>
  </si>
  <si>
    <t>Tasas  Atrasadas</t>
  </si>
  <si>
    <t>Valor Adeudado</t>
  </si>
  <si>
    <t>Mensual según convenio de pago</t>
  </si>
  <si>
    <t>Recuperos Varios</t>
  </si>
  <si>
    <t>Reg. Fac. Pago</t>
  </si>
  <si>
    <t>Actuaciones Administr.</t>
  </si>
  <si>
    <t>Por cada tramite</t>
  </si>
  <si>
    <t>montos fijos según recibo de ingreso</t>
  </si>
  <si>
    <t>Salud Publica</t>
  </si>
  <si>
    <t>Por dia</t>
  </si>
  <si>
    <t>$ 700,00   p/dia</t>
  </si>
  <si>
    <t>Contravenc.  Y Multas</t>
  </si>
  <si>
    <t>En funcion de la infraccion</t>
  </si>
  <si>
    <t>Ord 73 y 74/18 y 32/18 Codigo de Faltas Ord, 70/96</t>
  </si>
  <si>
    <t>Intereses Bancarios</t>
  </si>
  <si>
    <t>Monto Depositado</t>
  </si>
  <si>
    <t>Fecha Vencimiento deposito</t>
  </si>
  <si>
    <t>Fondo Municipal Prom.</t>
  </si>
  <si>
    <t>Ingresos Jurisdiccion Municipal</t>
  </si>
  <si>
    <t xml:space="preserve">Por cada concepto </t>
  </si>
  <si>
    <t>Recupero Cuotas Terreno</t>
  </si>
  <si>
    <t>Según contrato firmado</t>
  </si>
  <si>
    <t>Monto fijo</t>
  </si>
  <si>
    <t>Vta.Bienes Munic.</t>
  </si>
  <si>
    <t>Valor adjudicacion Lic. Vtas.</t>
  </si>
  <si>
    <t>Al perfeccionar la Vta.</t>
  </si>
  <si>
    <t>Fondo Prom.Def.Civil</t>
  </si>
  <si>
    <t>Ingresos FONDO PROM CULTURAL</t>
  </si>
  <si>
    <t>Aporte voluntarios</t>
  </si>
  <si>
    <t>Montos fijos Voluntarios</t>
  </si>
  <si>
    <t>Ingresos por la Realizacion de Eventos</t>
  </si>
  <si>
    <t>Venta total entradas</t>
  </si>
  <si>
    <t>Por Evento realizado</t>
  </si>
  <si>
    <t>Rec.Plan Viviendas</t>
  </si>
  <si>
    <t>Diferencia Cambio</t>
  </si>
  <si>
    <t>Valor Mercado menos Valor historico</t>
  </si>
  <si>
    <t>Por c/Operación cambio</t>
  </si>
  <si>
    <t>Recargo e Interes</t>
  </si>
  <si>
    <t>Tasas Municipales</t>
  </si>
  <si>
    <t>Otros Ingr Jur Municipal</t>
  </si>
  <si>
    <t>Rec plan vivienda</t>
  </si>
  <si>
    <t>Venta bs municipales</t>
  </si>
  <si>
    <t>EJECUTADO AL 30/06/2022</t>
  </si>
  <si>
    <t>MUNICIPIO DE ENRIQUE CARBÓ</t>
  </si>
  <si>
    <r>
      <t xml:space="preserve">CRITERIOS PARA COMPLETAR LA PLANILLA </t>
    </r>
    <r>
      <rPr>
        <b/>
        <sz val="13"/>
        <color indexed="10"/>
        <rFont val="Calibri"/>
        <family val="2"/>
      </rPr>
      <t>(Eliminar estas aclaraciones al momento de presentar la planilla)</t>
    </r>
    <r>
      <rPr>
        <b/>
        <sz val="13"/>
        <color indexed="8"/>
        <rFont val="Calibri"/>
        <family val="2"/>
      </rPr>
      <t xml:space="preserve">: </t>
    </r>
  </si>
  <si>
    <t xml:space="preserve"> A- PERIODO: LA PLANILLA SE COMPLETA CON INFORMACIÓN:</t>
  </si>
  <si>
    <t>AL 30/06: ACUMULADO A ESA FECHA CON LA ORDENANZA TRIBUTARIA VIGENTE</t>
  </si>
  <si>
    <t xml:space="preserve"> B- EXPONER LOS RECURSOS SEGÚN LAS CATEGORÍAS SOLICITADAS EN LA PLANILLA, RESPECTO A LA ADMINSITRACIÓN PÚBLICA NO FINANCIERA (Adimistración Central, Instituciones  de la Seguridad Social, y Organismos Descentralizados).</t>
  </si>
  <si>
    <t xml:space="preserve"> C- REGISTRAR LOS DATOS EN CADA CATEGORÍA, ANALIZANDO LA NATURALEZA DEL RECURSO A EXPONER</t>
  </si>
  <si>
    <t xml:space="preserve"> D- ORDENAR LOS RECURSOS DE MAYOR A MENOR RECAUDACIÓN (dentro de cada categoría)</t>
  </si>
  <si>
    <r>
      <t xml:space="preserve"> E- CONSIGNAR EN CADA CELDA SI ES </t>
    </r>
    <r>
      <rPr>
        <b/>
        <sz val="13"/>
        <color indexed="10"/>
        <rFont val="Calibri"/>
        <family val="2"/>
      </rPr>
      <t>% o $</t>
    </r>
  </si>
  <si>
    <t>TASA DE HIGIENE</t>
  </si>
  <si>
    <t>TOTAL DE VENTAS  MENSUALES</t>
  </si>
  <si>
    <t>214/2017</t>
  </si>
  <si>
    <t>TASA AMBIENTAL</t>
  </si>
  <si>
    <t>IMPORTE FIJO MENSUAL</t>
  </si>
  <si>
    <t>219/2017-264/2019</t>
  </si>
  <si>
    <t>ATMOSFÈRICO</t>
  </si>
  <si>
    <t>POR SOLICITUD</t>
  </si>
  <si>
    <t>140/2012-266/2019</t>
  </si>
  <si>
    <t>IMPORTE FIJO BIMESTRAL</t>
  </si>
  <si>
    <t>140/2012-279/2020- 696/2020</t>
  </si>
  <si>
    <t>210/2017</t>
  </si>
  <si>
    <t>MULTAS DE TRÁNSITO</t>
  </si>
  <si>
    <t>ORD 13/2012</t>
  </si>
  <si>
    <t>COLECTIVO</t>
  </si>
  <si>
    <t>ORD 140/2014</t>
  </si>
  <si>
    <t>CUOTAS VIVIENDAS</t>
  </si>
  <si>
    <t>Ord 12/2012 - 175/2015</t>
  </si>
  <si>
    <t>ENTRE RIOS SERVICIOS</t>
  </si>
  <si>
    <t>MUNICIPIO:  FEDERACION</t>
  </si>
  <si>
    <t>(2.8) PERÍODO: ejecutado al 30/06/2022</t>
  </si>
  <si>
    <t>Tasa por Servicio Utilización Agua Termal</t>
  </si>
  <si>
    <t>Fija</t>
  </si>
  <si>
    <t>Diaria</t>
  </si>
  <si>
    <t>General $ 1200</t>
  </si>
  <si>
    <t xml:space="preserve">Ordenanza Tributaria Nº 2328  H.C.D. - Art. Nº 14 - </t>
  </si>
  <si>
    <t>Tasa por Inspección sanit. Hig. Seg. Y Prof. (1)</t>
  </si>
  <si>
    <t>Ingresos Brutos</t>
  </si>
  <si>
    <t>Minimo General $1200</t>
  </si>
  <si>
    <t xml:space="preserve">Ordenanza Tributaria Nº 2328 H.C.D. -Art. Nº 8 - </t>
  </si>
  <si>
    <t>Tasa General ABL</t>
  </si>
  <si>
    <t>Avalúo Fiscal</t>
  </si>
  <si>
    <t>($365 avalúo de $0 a $146000) (0.25% avalúo de $ 146000,01 a $ 1000000,00) ($2500 avalúo mas de 1000000,01)</t>
  </si>
  <si>
    <t>Ordenanza Tributaria Nº 2328 H.C.D. - Art. Nº 1 -</t>
  </si>
  <si>
    <t>Tasa por Inspec. Per. E Instal. Medidores</t>
  </si>
  <si>
    <t>Consumo E.E.</t>
  </si>
  <si>
    <t>12% Uso residencial</t>
  </si>
  <si>
    <t xml:space="preserve">Ordenanza Tributaria Nº 2328  H.C.D. - Art. Nº 28 - </t>
  </si>
  <si>
    <t>12% Uso comercial, oficial e insdustrial</t>
  </si>
  <si>
    <t>Tasa por Servicios Sanitarios</t>
  </si>
  <si>
    <t>($219 avalúo de $0 a $146000) (0.15% avalúo de $ 146000,01 a $ 1000000,00) ($1500 avalúo mas de 1000000,01)</t>
  </si>
  <si>
    <t xml:space="preserve">Ordenanza Tributaria Nº 2328  H.C.D. -Art. Nº 2 - </t>
  </si>
  <si>
    <t>Por anuncio</t>
  </si>
  <si>
    <t>Por día</t>
  </si>
  <si>
    <t>General $ 500</t>
  </si>
  <si>
    <t xml:space="preserve">Ordenanza tributaria Nº 2328  H.C.D. - Art. Nº 21 - </t>
  </si>
  <si>
    <t>Espectáculos Públicos y Rifas</t>
  </si>
  <si>
    <t>Entradas                      Total Recaudado</t>
  </si>
  <si>
    <t>Por evento</t>
  </si>
  <si>
    <t>10%                                                                           5%</t>
  </si>
  <si>
    <t>Ordenanza Tributaria Nº 2328  H.C.D. - Art. Nº 23 y 24 -.</t>
  </si>
  <si>
    <t>Actuaciones Administrativas (2)</t>
  </si>
  <si>
    <t>Cada presentación</t>
  </si>
  <si>
    <t>Ordenanza Tributaria Nº 2328 H.C.D. - Art. Nº 33 -</t>
  </si>
  <si>
    <t>Derecho de cementerio</t>
  </si>
  <si>
    <t>Ordenanza Tributaria Nº 2328  H.C.D. -Art. Nº 19 -</t>
  </si>
  <si>
    <t>Derecho de construcción</t>
  </si>
  <si>
    <t>m2 de construcción</t>
  </si>
  <si>
    <t>Ordenanza Tributaria Nº 2328  H.C.D. -Art. Nº 30 -</t>
  </si>
  <si>
    <t>Ocupación de la Vía Pública</t>
  </si>
  <si>
    <t>Instalaciones</t>
  </si>
  <si>
    <t>Anual/Mensual</t>
  </si>
  <si>
    <t>Ordenanza Tributaria Nº 2328  H.C.D. - Art. Nº 20 -</t>
  </si>
  <si>
    <t>Multas</t>
  </si>
  <si>
    <t>Grado de incumplimiento</t>
  </si>
  <si>
    <t>Por infracción</t>
  </si>
  <si>
    <t>Ordenanza Tributaria Nº 2328 H.C.D. - Art. Nº 40 -</t>
  </si>
  <si>
    <t>Fondo Municipal de Promoción de la Comunidad y Turismo</t>
  </si>
  <si>
    <t>Higiene-Multas-Rifas-Vía Pública</t>
  </si>
  <si>
    <t>Ordenanza Tributaria Nº 2328  H.C.D. -Art. Nº 34 -</t>
  </si>
  <si>
    <t>(1) Incluye: Recargo por Mora e Intereses, Deudores de Tasas y Derechos Atrasados, Ingresos por Juicios de Apremio.</t>
  </si>
  <si>
    <t>(2) Incluye: Sellados y Derechos de Oficina, Aportes Internados Centro Asistencial, Ingresos Varios.</t>
  </si>
  <si>
    <r>
      <t xml:space="preserve">MUNICIPIO:  </t>
    </r>
    <r>
      <rPr>
        <b/>
        <sz val="8"/>
        <rFont val="Calibri"/>
        <family val="2"/>
      </rPr>
      <t>FEDERAL</t>
    </r>
  </si>
  <si>
    <t xml:space="preserve"> PERÍODO: RECAUDADO 30/06/2022</t>
  </si>
  <si>
    <t xml:space="preserve">RECAUDADO </t>
  </si>
  <si>
    <t>Tasa de Higiene</t>
  </si>
  <si>
    <t>Ventas por Rubros</t>
  </si>
  <si>
    <t>Ord.N°1,139/21</t>
  </si>
  <si>
    <t>Tasa de Higiene (Liq. Energía de E. R. S.A.)</t>
  </si>
  <si>
    <t>Consumo Energía Eléctrica</t>
  </si>
  <si>
    <t>Dec. 3829/07</t>
  </si>
  <si>
    <r>
      <t>Por m</t>
    </r>
    <r>
      <rPr>
        <b/>
        <sz val="8"/>
        <rFont val="Arial"/>
        <family val="2"/>
      </rPr>
      <t>²</t>
    </r>
    <r>
      <rPr>
        <b/>
        <sz val="8"/>
        <rFont val="Calibri"/>
        <family val="2"/>
      </rPr>
      <t xml:space="preserve"> y Ubicacion</t>
    </r>
  </si>
  <si>
    <t>Servicios Sanitarios</t>
  </si>
  <si>
    <t>Por Evaluo y Consumo</t>
  </si>
  <si>
    <t>Cementerio Municipal</t>
  </si>
  <si>
    <t>Por m² y Ubicacion</t>
  </si>
  <si>
    <t>Dcho por Tasas y D.Atrasadas</t>
  </si>
  <si>
    <t>Por Deuda con el Municipio</t>
  </si>
  <si>
    <t>Abasto e Inpeccion Veterinaria</t>
  </si>
  <si>
    <t>Por Contidad</t>
  </si>
  <si>
    <t>kg.</t>
  </si>
  <si>
    <t>Constribucion por Mejoras</t>
  </si>
  <si>
    <t>Según Costo de la Obra</t>
  </si>
  <si>
    <t>Espectaculos Publicos</t>
  </si>
  <si>
    <t>Sobre el Valor de la Entrada</t>
  </si>
  <si>
    <t>C/U</t>
  </si>
  <si>
    <t>Complejo Deportivo</t>
  </si>
  <si>
    <t xml:space="preserve">Por Persona o Grupo </t>
  </si>
  <si>
    <t>Salud Pca Municipal</t>
  </si>
  <si>
    <t>Por Rubro</t>
  </si>
  <si>
    <t>Diario</t>
  </si>
  <si>
    <t xml:space="preserve">Locacion Salones </t>
  </si>
  <si>
    <t>Alquiler para Eventos</t>
  </si>
  <si>
    <t>Faltas Varias (Multas)</t>
  </si>
  <si>
    <t>S/ Codigo de Faltas</t>
  </si>
  <si>
    <t>Concesiones de Bienes Municipales</t>
  </si>
  <si>
    <t>Según Concesion</t>
  </si>
  <si>
    <t>L.P..N°03 y 06/18</t>
  </si>
  <si>
    <t>Inter.Obt.por dtos bancarios</t>
  </si>
  <si>
    <t>Por Plazos Fijos (Bcos)</t>
  </si>
  <si>
    <t>Por Codigo Tributario Mun.</t>
  </si>
  <si>
    <t>Contribuciones y Ocupacion de la Via Publica</t>
  </si>
  <si>
    <t>Por m² y Ubicación</t>
  </si>
  <si>
    <t>Recupero Aport. Reintegrable</t>
  </si>
  <si>
    <t>Prestamos a Corto Plazos</t>
  </si>
  <si>
    <t>Recupero Sec. Planta de Residuos</t>
  </si>
  <si>
    <t>Por Venta de Residuos</t>
  </si>
  <si>
    <t>Residentes Hogar de Ancianos</t>
  </si>
  <si>
    <t>Por Ventas de Terrenos</t>
  </si>
  <si>
    <t>Por Cuotas</t>
  </si>
  <si>
    <t>Ingresos sin especificar</t>
  </si>
  <si>
    <t>Según Codigo Varios</t>
  </si>
  <si>
    <t>Reintegros ART y Otros</t>
  </si>
  <si>
    <t>Codigo Según ART</t>
  </si>
  <si>
    <t>Recupero Sec.Produccion</t>
  </si>
  <si>
    <t>Por Ventas Sec. Produccion</t>
  </si>
  <si>
    <t>Micro Cred. Para el Des. Econ. Social</t>
  </si>
  <si>
    <t>Según Codigo S.D.S.</t>
  </si>
  <si>
    <t>PERÍODO: 2022</t>
  </si>
  <si>
    <r>
      <rPr>
        <b/>
        <sz val="11"/>
        <color indexed="8"/>
        <rFont val="Calibri"/>
        <family val="2"/>
      </rPr>
      <t xml:space="preserve">RECURSOS PROPIOS DEL MUNICIPIO:  </t>
    </r>
    <r>
      <rPr>
        <b/>
        <sz val="11"/>
        <color indexed="12"/>
        <rFont val="Calibri"/>
        <family val="2"/>
      </rPr>
      <t>GENERAL RAMÍREZ</t>
    </r>
  </si>
  <si>
    <t>TASA POR INSPECCION SANITARIA HIGIENE PROFILAXIS Y SEGURIDAD</t>
  </si>
  <si>
    <t>Facturacion mensual</t>
  </si>
  <si>
    <t>Ord.Tributaria 2555</t>
  </si>
  <si>
    <t>Medido-No medido</t>
  </si>
  <si>
    <t>Bimestre</t>
  </si>
  <si>
    <t xml:space="preserve">seg/medicion </t>
  </si>
  <si>
    <t>ALUMBRADO PUBLICO</t>
  </si>
  <si>
    <t>retencion ENERSA</t>
  </si>
  <si>
    <t>mensual</t>
  </si>
  <si>
    <t xml:space="preserve">  </t>
  </si>
  <si>
    <t>Avaluo de propiedad</t>
  </si>
  <si>
    <t>Bimestre o anual</t>
  </si>
  <si>
    <t>TASA POR HABILITACION COMERCIAL</t>
  </si>
  <si>
    <t>Activo fijo</t>
  </si>
  <si>
    <t>c/5 años</t>
  </si>
  <si>
    <t xml:space="preserve">                                                                                                                                                                                                                                                                                                                                                                                                                                                                                                                                                                                                                                                                                                                                                                                                                                                                                                                                                                                                                                                                                                                                             </t>
  </si>
  <si>
    <t>SISTEMA AHORRO PREVIO</t>
  </si>
  <si>
    <t>valor de Obra</t>
  </si>
  <si>
    <t>de acuerdo al tramite</t>
  </si>
  <si>
    <t>diaria</t>
  </si>
  <si>
    <t>valor de obra</t>
  </si>
  <si>
    <t>DERECHO POR USO INSTALACIONES MUNICIPALES</t>
  </si>
  <si>
    <t>de acuerdo al servicio(ord.trib)</t>
  </si>
  <si>
    <t>serv limpieza-alquiler de nichos</t>
  </si>
  <si>
    <t xml:space="preserve">  anual</t>
  </si>
  <si>
    <t xml:space="preserve"> tasa $1575/alq $ 2100</t>
  </si>
  <si>
    <t>DERECHO POR OCUPACION DE ESPACIO PUBLICO</t>
  </si>
  <si>
    <t>metro cuadrado o lineal</t>
  </si>
  <si>
    <t>anual/mensual</t>
  </si>
  <si>
    <t>10 $ x mt. Lineal</t>
  </si>
  <si>
    <t>1500$ mes/parques</t>
  </si>
  <si>
    <t>INGRESO POLIDEPORTIVO</t>
  </si>
  <si>
    <t xml:space="preserve">de acuerdo al servicio </t>
  </si>
  <si>
    <t>2136 modulos fiscales</t>
  </si>
  <si>
    <t>PUBLICIDAD</t>
  </si>
  <si>
    <t>m2 o fraccion y por faz</t>
  </si>
  <si>
    <t>$1050 x mt. en CPM</t>
  </si>
  <si>
    <t>en funcion del tiempo de permisos</t>
  </si>
  <si>
    <t>DISPOSICIONES COMPLEMENTARIAS</t>
  </si>
  <si>
    <t xml:space="preserve">% sobre valor de tasa </t>
  </si>
  <si>
    <t>Cod.fiscal 2449</t>
  </si>
  <si>
    <t>IMPUESTOS ATRASADOS</t>
  </si>
  <si>
    <t xml:space="preserve">deudas año santeriores </t>
  </si>
  <si>
    <t>FONDO ACCION COMUNAL</t>
  </si>
  <si>
    <t xml:space="preserve">% sobre tasa </t>
  </si>
  <si>
    <t>CONVENIOS DE PAGO</t>
  </si>
  <si>
    <t>valor de obra o deuda</t>
  </si>
  <si>
    <t>SALUD PUBLICA</t>
  </si>
  <si>
    <t>carnet sanitario</t>
  </si>
  <si>
    <t>anual</t>
  </si>
  <si>
    <t>s</t>
  </si>
  <si>
    <t>MUNICIPIO:  GUALEGUAY</t>
  </si>
  <si>
    <r>
      <t>(2.8) PERÍODO: Ejecutado al 30/06/</t>
    </r>
    <r>
      <rPr>
        <b/>
        <sz val="12"/>
        <color indexed="10"/>
        <rFont val="Calibri"/>
        <family val="2"/>
      </rPr>
      <t>2022</t>
    </r>
  </si>
  <si>
    <t>Insp. San., Hig., Prof. Y
 Seguridad (y tasas
relacionadas con la act.
comercial)</t>
  </si>
  <si>
    <t xml:space="preserve">Facturación </t>
  </si>
  <si>
    <t>3080/21</t>
  </si>
  <si>
    <t>Fondos Municipales (Recargo a Tasas)</t>
  </si>
  <si>
    <t>General Inmobiliaria</t>
  </si>
  <si>
    <t>0,0027%</t>
  </si>
  <si>
    <t>0,007%</t>
  </si>
  <si>
    <t>0,0018%</t>
  </si>
  <si>
    <t>0.0036%</t>
  </si>
  <si>
    <t xml:space="preserve">Contribución por mejoras      
   </t>
  </si>
  <si>
    <t>Costo real informado por Obras Publicas</t>
  </si>
  <si>
    <t>Sale por ordenanza, según las obras</t>
  </si>
  <si>
    <t>882m²</t>
  </si>
  <si>
    <t>12960m²</t>
  </si>
  <si>
    <t>ORD. 3028/21 DEC.847/21</t>
  </si>
  <si>
    <t>Edificación (Construcción)</t>
  </si>
  <si>
    <t xml:space="preserve">Valor de la obra informada por el profesional interviniente y verificada por obras privadas </t>
  </si>
  <si>
    <t>Cementerio y Servicios
 Funebres</t>
  </si>
  <si>
    <t>Prestación de Servicio</t>
  </si>
  <si>
    <t xml:space="preserve">Anual </t>
  </si>
  <si>
    <t xml:space="preserve">Según la actividad </t>
  </si>
  <si>
    <t xml:space="preserve">Mensual y Bimestral </t>
  </si>
  <si>
    <t>Alquileres (Uso de equipos,
instalaciones e inmuebles)</t>
  </si>
  <si>
    <t xml:space="preserve">Mensual </t>
  </si>
  <si>
    <t xml:space="preserve">En el caso de multas por tasa de higiene;  son 250$ x pres fuera de termino </t>
  </si>
  <si>
    <t>Concesiones</t>
  </si>
  <si>
    <t>Intereses</t>
  </si>
  <si>
    <t>Venta de Bs y Serv. Adm. Pública Mun.</t>
  </si>
  <si>
    <t xml:space="preserve">Arrendamientos de tierras y 
terrenos   </t>
  </si>
  <si>
    <t xml:space="preserve">Transferencias Corrientes Del Sector Público Provincial 
        </t>
  </si>
  <si>
    <t xml:space="preserve">Recuperación de Préstamos de
 Corto Plazo </t>
  </si>
  <si>
    <t xml:space="preserve">Recupero o reembolso de Obras
 Públicas       </t>
  </si>
  <si>
    <r>
      <t>RECURSOS PROPIOS DEL MUNICIPIO:</t>
    </r>
    <r>
      <rPr>
        <b/>
        <sz val="11"/>
        <color rgb="FF0066FF"/>
        <rFont val="Calibri"/>
        <family val="2"/>
        <scheme val="minor"/>
      </rPr>
      <t xml:space="preserve"> GUALEGUAYCHÚ</t>
    </r>
  </si>
  <si>
    <t xml:space="preserve">PRIMER SEMESTRE </t>
  </si>
  <si>
    <t>1114100 Insp. San., Hig., Prof. y Seguridad (y tasas relacionadas con la act. comercial)</t>
  </si>
  <si>
    <t>Ventas devengadas</t>
  </si>
  <si>
    <t>Código tributario 10.287, Parte Especial, Titulo II - Ordenanza General Impositiva 10446, Titulo II</t>
  </si>
  <si>
    <t>1114600 Servicios Sanitarios</t>
  </si>
  <si>
    <t>((Sup. Terreno* coeficiente)+( Sup. Mejoras* Coeficiente))*coef. Zonal art. 41+ Monto Fijo deTratamiento de efluentes</t>
  </si>
  <si>
    <t xml:space="preserve">Coeficientes según la superficie, servicios y zona. </t>
  </si>
  <si>
    <t>Código tributario 10.287, Parte Especial, Titulo XVII - Ordenanza General Impositiva 10446, titulo XVII.</t>
  </si>
  <si>
    <t>1114400 General Inmobiliaria</t>
  </si>
  <si>
    <t>Avaluo por coeficiente de ZONA</t>
  </si>
  <si>
    <t>Escala de alícuotas.</t>
  </si>
  <si>
    <t xml:space="preserve">Código tributario 10.287, Parte Especial, Titulo I - Ordenanza General Impositiva 10446 , titulo I. </t>
  </si>
  <si>
    <t>1114900 Fondo Municipal de Promoción de la Comunidad y Turismo</t>
  </si>
  <si>
    <t>20 % sobre la tasa por insp. san., hig., prof. y                                                   10% s/ Tasa General Inmobiliaria</t>
  </si>
  <si>
    <t>% s/ tasa</t>
  </si>
  <si>
    <t>Código tributario 10.287, Titulo XIV - Ordenanza General Impositiva 10446, Titulo XIV.</t>
  </si>
  <si>
    <t>1114500 Tasa sobre consumo de energia electrica</t>
  </si>
  <si>
    <t>Consumo del básico facturado</t>
  </si>
  <si>
    <t>16% Residencionales- 15% Comercial, Oficial e Instituciones</t>
  </si>
  <si>
    <t>Código tributario 10.287, Parte Especial, titulo X, Cap 1 - Ordenanza General Impositiva 10446, titulo X, Cap I.</t>
  </si>
  <si>
    <t>Contribución Unica del Prestador de Servicios Electricos</t>
  </si>
  <si>
    <t>Código tributario 10.287, Parte Especial, Titulo X, Cap II - Ordenanza General Impositiva 10446, Parte Especial, Titulo X, Cap II.</t>
  </si>
  <si>
    <t>1114900 Fondo de Promoción y Desarrollo</t>
  </si>
  <si>
    <t>10 % sobre la tasa por insp. san., hig., prof.</t>
  </si>
  <si>
    <t>%  s/ tasa</t>
  </si>
  <si>
    <t>Ordenanza General Impositiva 10446, titulo II, Art 8°.</t>
  </si>
  <si>
    <t>1114900 Fondo de Desarrollo Habitacional ( sobre Tasa General Inmobiliaria)</t>
  </si>
  <si>
    <t xml:space="preserve">Cantidad Total de m2 propiedad de un mismo contribuyente                                                        </t>
  </si>
  <si>
    <t>% sobre TGI s/m2 de propiedad</t>
  </si>
  <si>
    <t>Código tributario 10.287, Titulo XXIV - Ordenanza General Impositiva 10446, Titulo XXII.</t>
  </si>
  <si>
    <t>1132400 Cementerio (Tasa por limpieza, barrido de veredas y uso de agua)</t>
  </si>
  <si>
    <t>Unidad Tributaria Municipal s/Ordenanza Impositiva</t>
  </si>
  <si>
    <t>6 cuotas mensuales</t>
  </si>
  <si>
    <t>UTM según tipo</t>
  </si>
  <si>
    <t>6 UTM</t>
  </si>
  <si>
    <t>219 UTM</t>
  </si>
  <si>
    <t>Código tributario 10.287, Parte Especial, Titulo V, Cap 2° - Ordenanza General Impositiva 10446, Titulo V, Cap III)</t>
  </si>
  <si>
    <t>1132600 Publicidad y Propaganda</t>
  </si>
  <si>
    <t>UTM por m2 s/tipo</t>
  </si>
  <si>
    <t>8 UTM</t>
  </si>
  <si>
    <t>48 UTM</t>
  </si>
  <si>
    <t xml:space="preserve">Código tributario 10.287, Parte especial, Titulo XXIII - Ordenanza General Impositiva 10446, Titulo XXIII. </t>
  </si>
  <si>
    <t>1114900 Fondo para desagues pluviales</t>
  </si>
  <si>
    <t>5% sobre la tasa General Inmobiliaria</t>
  </si>
  <si>
    <t>Código tributario 10.287, Titulo XX - Ordenanza General Impositiva 10446, Titulo XX.</t>
  </si>
  <si>
    <t>1114800 Abasto</t>
  </si>
  <si>
    <t>Kilos o piezas de ingreso de carnes frescas</t>
  </si>
  <si>
    <t>Por ingreso a la ciudad</t>
  </si>
  <si>
    <t>Valor por Unidad o pieza</t>
  </si>
  <si>
    <t>Código tributario 10.287, Parte Especial, Titulo III, Cap III- Ordenanza General Impositiva 10446, Titulo III, Cap III.</t>
  </si>
  <si>
    <t>1132200 Edificación</t>
  </si>
  <si>
    <t>A solicitud del contribuyente</t>
  </si>
  <si>
    <t>Ocasional</t>
  </si>
  <si>
    <t>UTM por mts2</t>
  </si>
  <si>
    <t>40 UTM</t>
  </si>
  <si>
    <t>350 UTM</t>
  </si>
  <si>
    <t>Código tributario 10.287, Parte Especial, titulo XII- Ordenanza General Impositiva 10.446, Titulo XII</t>
  </si>
  <si>
    <t>1132400 Cementerio ( Derechos/concesión de nichos/servicios funebres)</t>
  </si>
  <si>
    <t>UTM</t>
  </si>
  <si>
    <t>5 UTM</t>
  </si>
  <si>
    <t>200 UTM</t>
  </si>
  <si>
    <t>Código tributario 10.287, Parte Especial, Titulo V - Ordenanza General Impositiva 10446, Titulo V)</t>
  </si>
  <si>
    <t>Infracciones</t>
  </si>
  <si>
    <t xml:space="preserve">Varia según la infraccion en Lts de Nafta Super, UTM, Lts de Gas oil. </t>
  </si>
  <si>
    <t>Código Básico y de Procedimiento en materia de Faltas- Ordenanza 10539/01</t>
  </si>
  <si>
    <t>VALOR DE LA UTM DESDE FEBRERO 2022: $170 Por Decreto Nº  180-2022</t>
  </si>
  <si>
    <t>1114500 Tasa sobre consumo de energia electrica: La alícuota general debe ser única. Como la ordenanza prevé una alícuota distinta según el uso (residencial o comercial), se tratan de alícuotas especiales, deben registrarse como tales en la columna correspondiente.</t>
  </si>
  <si>
    <t>Municipalidad de Hernández</t>
  </si>
  <si>
    <t>PERÍODO: desde el 01/01/2022 al 30/06/2022</t>
  </si>
  <si>
    <t>Zona A</t>
  </si>
  <si>
    <t xml:space="preserve">Tasa básica única para cada zona, de acuerdo a los servicios que poseen </t>
  </si>
  <si>
    <t>Ordenanza n° 866  - Decreto n° 173-2020</t>
  </si>
  <si>
    <t>Zona AB</t>
  </si>
  <si>
    <t>Zona AC</t>
  </si>
  <si>
    <t>Zona B</t>
  </si>
  <si>
    <t>Zona BC</t>
  </si>
  <si>
    <t>Zona C</t>
  </si>
  <si>
    <t>Zona D</t>
  </si>
  <si>
    <t>Zona E</t>
  </si>
  <si>
    <t>Exenta s/Ord 468/03</t>
  </si>
  <si>
    <t>Tasa de Higiene, Profilaxis y Seguridad:</t>
  </si>
  <si>
    <t>s/DDJJ Mensual</t>
  </si>
  <si>
    <t>Fabric. Prod. En gral. Con distrib. Mayorista y min.</t>
  </si>
  <si>
    <t>Estab. De elab. Y venta de productos lácteos y deriv</t>
  </si>
  <si>
    <t>Estab de elab. Y venta de prod. de panadería</t>
  </si>
  <si>
    <t>Estab. De elab. Y venta de pastas alim. Secas y fresc.</t>
  </si>
  <si>
    <t>Fabric. Y venta de arts. De cuero</t>
  </si>
  <si>
    <t>Elab. Y venta de cerveza artesanal</t>
  </si>
  <si>
    <t>Supermercados</t>
  </si>
  <si>
    <t>Minimercados</t>
  </si>
  <si>
    <t>Almacén</t>
  </si>
  <si>
    <t>Pollerías</t>
  </si>
  <si>
    <t>Carnicerías</t>
  </si>
  <si>
    <t>Venta de pescado</t>
  </si>
  <si>
    <t>Roticerías y carribares</t>
  </si>
  <si>
    <t>Comedores</t>
  </si>
  <si>
    <t>Bares, pubs, cafeterías confiterías</t>
  </si>
  <si>
    <t>Kioscos</t>
  </si>
  <si>
    <t>Tiendas de indumentarias</t>
  </si>
  <si>
    <t>Peluquerías y centros de estética</t>
  </si>
  <si>
    <t>Consultorios</t>
  </si>
  <si>
    <t>Talleres mecánicos</t>
  </si>
  <si>
    <t>Venta de productos de limpieza</t>
  </si>
  <si>
    <t>Agencias de lot., prode, quin., tomb., rif., tur.,y enc.</t>
  </si>
  <si>
    <t xml:space="preserve">Empresas de telefonía fija y móvil </t>
  </si>
  <si>
    <t>Bancos y companías financieras</t>
  </si>
  <si>
    <t>Empresas de correo</t>
  </si>
  <si>
    <t xml:space="preserve">Servicios fúnebres:                                                             1.- Ataúdes, fabricación y venta                                           2.- Pago de servicio unificado </t>
  </si>
  <si>
    <t>Inmob., conc., casas de rem., y toda itermediacion</t>
  </si>
  <si>
    <t>Confiterias bailables, discotecas y similares</t>
  </si>
  <si>
    <t>Estaciones de servicios y/o expendio de combustible</t>
  </si>
  <si>
    <t>Disfusoras FM, T.V por cable y satelital/serv internet</t>
  </si>
  <si>
    <t>Coop., de Agua Potable y O.Servicios Públicos Ord.472</t>
  </si>
  <si>
    <t>Exenta s/ord472/03</t>
  </si>
  <si>
    <t>Farmacia y Perfumería</t>
  </si>
  <si>
    <t>Proveedor de Gas Natural por Redes</t>
  </si>
  <si>
    <t>Serv. De acondic. Físico, gimnasios, pilates, yoga</t>
  </si>
  <si>
    <t>Forrajería</t>
  </si>
  <si>
    <t>Cotillón</t>
  </si>
  <si>
    <t>Dietética</t>
  </si>
  <si>
    <t>Veterinaria</t>
  </si>
  <si>
    <t>Venta de semillas, cereales y agroquímicos</t>
  </si>
  <si>
    <t>Viveros y florerías</t>
  </si>
  <si>
    <t>Casas de repuesto/ferretería</t>
  </si>
  <si>
    <t>Librería</t>
  </si>
  <si>
    <t>Lavaderos</t>
  </si>
  <si>
    <t>Gomerías</t>
  </si>
  <si>
    <t>Heladerías</t>
  </si>
  <si>
    <t>Fondo Comunal</t>
  </si>
  <si>
    <t>Importe de TGI/TSS</t>
  </si>
  <si>
    <t>Salubridad Pública:</t>
  </si>
  <si>
    <t>Carnet Sanitario</t>
  </si>
  <si>
    <t>unidad</t>
  </si>
  <si>
    <t>única vez</t>
  </si>
  <si>
    <t>Renovación</t>
  </si>
  <si>
    <t>semestral</t>
  </si>
  <si>
    <t>Inspección Higiénico Sanitario de vehículos</t>
  </si>
  <si>
    <t>Cementerio:</t>
  </si>
  <si>
    <t>inhumación de fosas</t>
  </si>
  <si>
    <t>inhumación de nichos</t>
  </si>
  <si>
    <t>traslados</t>
  </si>
  <si>
    <t>introducción o salida de restos</t>
  </si>
  <si>
    <t>colocación de lápidas o placas, u otras refacciones</t>
  </si>
  <si>
    <t>reducción de restos</t>
  </si>
  <si>
    <t>Nichos, cesión en arrendamiento 50 años:</t>
  </si>
  <si>
    <t>Cuarta fila</t>
  </si>
  <si>
    <t>Tercera fila</t>
  </si>
  <si>
    <t>Segunda fila</t>
  </si>
  <si>
    <t>Primera fila</t>
  </si>
  <si>
    <t>Columbarios mun. Arrendamiento 50 años</t>
  </si>
  <si>
    <t xml:space="preserve">Terrenos, concesión por 40 años </t>
  </si>
  <si>
    <t>m2</t>
  </si>
  <si>
    <t>Tasa por atención y limpieza</t>
  </si>
  <si>
    <t>Inspección y Reposición de Instalac. Eléctricas:</t>
  </si>
  <si>
    <t>usuarios residenciales</t>
  </si>
  <si>
    <t>sobre el precio del kw</t>
  </si>
  <si>
    <t>usuarios comerciales</t>
  </si>
  <si>
    <t>usuarios industriales</t>
  </si>
  <si>
    <t>reparticiones nacionales y provinciales</t>
  </si>
  <si>
    <t>Inspección de antenas telecomunicaciones</t>
  </si>
  <si>
    <t>Derechos de oficina y sellados</t>
  </si>
  <si>
    <t>por cada trámite</t>
  </si>
  <si>
    <t>Registros de títulos</t>
  </si>
  <si>
    <t>Pesas y medidas</t>
  </si>
  <si>
    <t>Vendedores ambulantes</t>
  </si>
  <si>
    <t>Espectáculos públicos</t>
  </si>
  <si>
    <t>Servicios atmosféricos</t>
  </si>
  <si>
    <t>Habilitación de comercios</t>
  </si>
  <si>
    <t>Castraciones insumos</t>
  </si>
  <si>
    <t>Publicidad y propaganda</t>
  </si>
  <si>
    <t>Trabajo máquinas viales</t>
  </si>
  <si>
    <t>por kilómetro</t>
  </si>
  <si>
    <t>Alquiler instalaciones</t>
  </si>
  <si>
    <t>Aranceles de pileta</t>
  </si>
  <si>
    <t xml:space="preserve"> unidad</t>
  </si>
  <si>
    <t>Multas y contravenciones</t>
  </si>
  <si>
    <t>intereses punitorios</t>
  </si>
  <si>
    <t>ingresos extraordinarios</t>
  </si>
  <si>
    <t>intereses operaciones financieras</t>
  </si>
  <si>
    <t>MUNICIPIO:  IBICUY</t>
  </si>
  <si>
    <t>ORDENANZA 325/2021</t>
  </si>
  <si>
    <t>TASAS POR INSPECCION SANITARIA, HIGIENE, PROFILAXIS Y SEGURIDAD</t>
  </si>
  <si>
    <t>ALICUOTA</t>
  </si>
  <si>
    <t>ZONA URBANA</t>
  </si>
  <si>
    <t>TASAS ATRASADAS</t>
  </si>
  <si>
    <t>A SOBRE AVALUO FISCAL Y DECLARACION JURADA</t>
  </si>
  <si>
    <t>%</t>
  </si>
  <si>
    <t>DERECHO DE EXTRACCION DE ARENA,PEDREGULLO Y TIERRA</t>
  </si>
  <si>
    <t>POR C/ METRO CUB.</t>
  </si>
  <si>
    <t>FONDO MUNICIPAL</t>
  </si>
  <si>
    <t>E.N.E.R.S.A (PROPIEDADES SIN MEDIDOR EXPECTO LAS PROP. RURALES Y SUBRURALES)</t>
  </si>
  <si>
    <t>CONCEPTO DE ALUMBRADO PUBLICO</t>
  </si>
  <si>
    <t>PRECIO DEL KW FACTURADO POR ENERSA</t>
  </si>
  <si>
    <t>SERVICIOS VARIOS</t>
  </si>
  <si>
    <t>SERVICIOS FUNEBRES</t>
  </si>
  <si>
    <t>MONTO FIJO</t>
  </si>
  <si>
    <t>SELLADOS:</t>
  </si>
  <si>
    <t>DERECHO A CEMENTERIO</t>
  </si>
  <si>
    <t>SEMESTRAL</t>
  </si>
  <si>
    <t>DERECHO DE RED CLOACAL</t>
  </si>
  <si>
    <t xml:space="preserve">POR LA CONEXIÓN A LA RED MADREC/PERS. MUN. </t>
  </si>
  <si>
    <t>PAGO UNICA VEZ</t>
  </si>
  <si>
    <t>EL PAGO DEL DERECHO DE RED CLOACAL</t>
  </si>
  <si>
    <t>RECARGO POR MORA E INTERESES</t>
  </si>
  <si>
    <t>A SOBRE AVALUO FISCAL</t>
  </si>
  <si>
    <t>POR DIA</t>
  </si>
  <si>
    <t>DERECHO A ESPECTACULOS PUBLICOS, JUEGOS, DIVERCION Y RIFAS</t>
  </si>
  <si>
    <t>MULTAS:</t>
  </si>
  <si>
    <t>UNICA VEZ</t>
  </si>
  <si>
    <t>OTROS</t>
  </si>
  <si>
    <t>PERIODICO</t>
  </si>
  <si>
    <t>MEJORA HABITACIONAL</t>
  </si>
  <si>
    <t>2 SUELDOS CAT. 1 + 12 CUOTAS SIN INTERES</t>
  </si>
  <si>
    <t>VTA. TERRENOS AFECTADOS</t>
  </si>
  <si>
    <t>TAZA ACTIVA DEL BANCO NACION</t>
  </si>
  <si>
    <t>INGRESO VENTA DE TERRENOS</t>
  </si>
  <si>
    <r>
      <t xml:space="preserve">MUNICIPIO:  </t>
    </r>
    <r>
      <rPr>
        <b/>
        <sz val="12"/>
        <color indexed="10"/>
        <rFont val="Calibri"/>
        <family val="2"/>
      </rPr>
      <t>MUNICIPALIDAD DE LA PAZ</t>
    </r>
  </si>
  <si>
    <t>INSPECCION SANITARIA, HIGIENE, PROF Y SEG</t>
  </si>
  <si>
    <t>Actividad</t>
  </si>
  <si>
    <t>ORD 1358 CT</t>
  </si>
  <si>
    <t>TASA DE AGUA Y CLOACAS</t>
  </si>
  <si>
    <t>m²</t>
  </si>
  <si>
    <t>ART. 31 CONTRATO CONCESION SERV.ELECTRICIDAD</t>
  </si>
  <si>
    <t>Canon</t>
  </si>
  <si>
    <t>TASA AMBIENTAL Y  SEGURIDAD CIUDADANA</t>
  </si>
  <si>
    <t>FONDO PROMOCION COMUN. Y TURISMO</t>
  </si>
  <si>
    <t>TASA ATRASADA INSP.SANIT.HIG Y SEG.</t>
  </si>
  <si>
    <t>Zona</t>
  </si>
  <si>
    <t>TASA ATRASADA TGI- AGUA Y CLOACAS</t>
  </si>
  <si>
    <t>PLAN de FAC.-TASA INMOB.AGUA-CLOACA-AMBIENTAL- Ord.1287/19</t>
  </si>
  <si>
    <t>Ord 1287/19</t>
  </si>
  <si>
    <t>ORD 1287/19</t>
  </si>
  <si>
    <t>ESTACIONAM. MEDIDO ORD.1083/13</t>
  </si>
  <si>
    <t>½ hora-1hora</t>
  </si>
  <si>
    <t>CONVENIO POLICIA-MUNIC ORD.1160/15</t>
  </si>
  <si>
    <t>ORD 1160/15</t>
  </si>
  <si>
    <t>TASA ATRASADA GESTION JUDICIAL</t>
  </si>
  <si>
    <t>PLAN de FAC.-TASA HIGIENE y SEG.- Ord.1287/19</t>
  </si>
  <si>
    <t>INSPECCION DE INSTALACIONES</t>
  </si>
  <si>
    <t>s/valor energia</t>
  </si>
  <si>
    <t>FO-DE-TUR - FONDO DESARR.TURISTICO</t>
  </si>
  <si>
    <t>CONTRIBUCION p/ MEJORAS</t>
  </si>
  <si>
    <t>mtr lineal</t>
  </si>
  <si>
    <t>Anual - Bi Anual</t>
  </si>
  <si>
    <t>DERECHOS VARIOS TERMAS</t>
  </si>
  <si>
    <t>DERECHO P/REPARACION Y EDIFICACION</t>
  </si>
  <si>
    <t>tasacion</t>
  </si>
  <si>
    <t>p/operación</t>
  </si>
  <si>
    <t>USO NATATORIO POLIDEPORTIVO</t>
  </si>
  <si>
    <t>Dia - Mensual -
Temporada</t>
  </si>
  <si>
    <t>por dia -
por persona</t>
  </si>
  <si>
    <t>DERECHOS VARIOS</t>
  </si>
  <si>
    <t>DERECHOS VARIOS MUSEO REGIONAL</t>
  </si>
  <si>
    <t>PUBLICIDAD Y PROPAGANDA</t>
  </si>
  <si>
    <t>Valor entradas</t>
  </si>
  <si>
    <t>LOCALES EXTERNOS POLIFUNCIONAL</t>
  </si>
  <si>
    <t>por local</t>
  </si>
  <si>
    <t>LOCALES TERMINAL</t>
  </si>
  <si>
    <t>ANDENES TERMINAL</t>
  </si>
  <si>
    <t>USO INSTALACIONES POLIDEPORTIVO</t>
  </si>
  <si>
    <t>por hora - por mes</t>
  </si>
  <si>
    <t>LOCALES BALNEARIOS</t>
  </si>
  <si>
    <t>INTERESES PLAZO FIJO y  DIF.COTIZACION</t>
  </si>
  <si>
    <t>ACTUALIZACION RECARG.E INTERES</t>
  </si>
  <si>
    <t>40% tasas AFIP</t>
  </si>
  <si>
    <t>RECUPERO GASTOS CORRIENTES</t>
  </si>
  <si>
    <t>PRODUCCIÓN PLANTA R.S.U.</t>
  </si>
  <si>
    <t>kg o unidad</t>
  </si>
  <si>
    <t>RECUPERO MICROCREDITOS</t>
  </si>
  <si>
    <t>RECUPERO GASTOS CASA ESTUDIANTIL</t>
  </si>
  <si>
    <t>p/persona</t>
  </si>
  <si>
    <t>COMIS.COB.ENTRE RIOS SERVICIOS</t>
  </si>
  <si>
    <r>
      <t xml:space="preserve">MUNICIPIO:  </t>
    </r>
    <r>
      <rPr>
        <b/>
        <sz val="12"/>
        <color indexed="10"/>
        <rFont val="Calibri"/>
        <family val="2"/>
      </rPr>
      <t>LOS CHARRUAS</t>
    </r>
  </si>
  <si>
    <t>Insp.Hig.Seg y Profilaxis</t>
  </si>
  <si>
    <t>Declarativo-Ventas</t>
  </si>
  <si>
    <t>ORD.228/2021</t>
  </si>
  <si>
    <t>Valuación Fiscal</t>
  </si>
  <si>
    <t>Consumo Eléctrico</t>
  </si>
  <si>
    <t>Servicios Sanitarios-Cloacas</t>
  </si>
  <si>
    <t>TGI</t>
  </si>
  <si>
    <t>Inspección Antenas</t>
  </si>
  <si>
    <t>fijo</t>
  </si>
  <si>
    <t>Actuaciones Aministrativas</t>
  </si>
  <si>
    <t>por trámite</t>
  </si>
  <si>
    <t>parcelas-nichos</t>
  </si>
  <si>
    <t>por solicitud</t>
  </si>
  <si>
    <t>diario</t>
  </si>
  <si>
    <t>Ocupación Vía Pública-Vendedores Ambulantes</t>
  </si>
  <si>
    <t>Edificación</t>
  </si>
  <si>
    <t>Habilitación Antenas</t>
  </si>
  <si>
    <t>por habilitación</t>
  </si>
  <si>
    <t>Mejoras Cloacas y Cordon Cuneta</t>
  </si>
  <si>
    <t>metro lineal</t>
  </si>
  <si>
    <t>PERÍODO: Presupuesto 2022</t>
  </si>
  <si>
    <t>RECURSOS PROPIOS DEL MUNICIPIO: MUNICIPALIDAD DE MARIA GRANDE</t>
  </si>
  <si>
    <t xml:space="preserve">    - IMPUESTOS </t>
  </si>
  <si>
    <t xml:space="preserve">    - TASAS </t>
  </si>
  <si>
    <t>Comercial</t>
  </si>
  <si>
    <t>Facturado</t>
  </si>
  <si>
    <t>Ord. N° 915/21 y Ord. N° 910/21</t>
  </si>
  <si>
    <t>Alumbrado Publico</t>
  </si>
  <si>
    <t>8,69% y 16%</t>
  </si>
  <si>
    <t>mtr3, consumo</t>
  </si>
  <si>
    <t>Avaluos</t>
  </si>
  <si>
    <t>Espectaculos publicos, Diversiones y rifas</t>
  </si>
  <si>
    <t>mtr 2 - facturado</t>
  </si>
  <si>
    <t>Bromatologia</t>
  </si>
  <si>
    <t>Ambiental</t>
  </si>
  <si>
    <t xml:space="preserve">    - CONTRIBUCIONES </t>
  </si>
  <si>
    <t>Contribucion por Mejoras</t>
  </si>
  <si>
    <t>bolsas de cemento</t>
  </si>
  <si>
    <t>2 Bls de Cem.</t>
  </si>
  <si>
    <t>19 Bls de Cem.</t>
  </si>
  <si>
    <t xml:space="preserve">    - DERECHOS </t>
  </si>
  <si>
    <t>mensual/anual</t>
  </si>
  <si>
    <t>Ocupacion via Publica</t>
  </si>
  <si>
    <t>mtr 2, cant</t>
  </si>
  <si>
    <t>anual/por dia</t>
  </si>
  <si>
    <t>solicitud</t>
  </si>
  <si>
    <t>Construccion</t>
  </si>
  <si>
    <t>Uso de Equipos e Instalaciones Municipales</t>
  </si>
  <si>
    <t>hora</t>
  </si>
  <si>
    <t>litros de gas oil</t>
  </si>
  <si>
    <t>10 litros</t>
  </si>
  <si>
    <t>100 litros</t>
  </si>
  <si>
    <t>Inspeccion de Antenas y Equipos</t>
  </si>
  <si>
    <t xml:space="preserve">    - ALQUILERES </t>
  </si>
  <si>
    <t>Alquileres de Inmuebles y Equipos</t>
  </si>
  <si>
    <t xml:space="preserve">    - MULTAS </t>
  </si>
  <si>
    <t>Multas al Codigo de Faltas</t>
  </si>
  <si>
    <t xml:space="preserve">    - CONCESIONES </t>
  </si>
  <si>
    <t>De Promocion de la Comunidad y Turismo</t>
  </si>
  <si>
    <t>Recargos</t>
  </si>
  <si>
    <r>
      <t xml:space="preserve">MUNICIPIO:  </t>
    </r>
    <r>
      <rPr>
        <b/>
        <sz val="12"/>
        <rFont val="Calibri"/>
        <family val="2"/>
      </rPr>
      <t>MUNICIPALIDAD DE PARANÁ</t>
    </r>
  </si>
  <si>
    <t>Tasa por Inspección Sanitaria, Higiene, Profilaxis y Seguridad</t>
  </si>
  <si>
    <t>12 por mil</t>
  </si>
  <si>
    <t>7 por mil</t>
  </si>
  <si>
    <t>55 por mil</t>
  </si>
  <si>
    <t>art. 53 y 54 Ordenanza 10012</t>
  </si>
  <si>
    <t xml:space="preserve">Fondo Municipal de Promoción y Turismo </t>
  </si>
  <si>
    <t xml:space="preserve">Importe de Tasa General Inmobiliaria, Tasa por Inspección Sanitaria, Higiene, Profilaxis y Seguridad  y otros tributos </t>
  </si>
  <si>
    <t>Conforme el tributo sobre el cual se aplica</t>
  </si>
  <si>
    <t>Tasa Inspección Sanitaria: 20%
Tasa General Inmobiliaria y otros tributos: 10%</t>
  </si>
  <si>
    <t>art. 110 Ordenanza 10012</t>
  </si>
  <si>
    <t xml:space="preserve">Tasa General Inmobiliaria </t>
  </si>
  <si>
    <t>art.12 Ordenanza 10012</t>
  </si>
  <si>
    <t xml:space="preserve">Tasa por Servicios Sanitarios  </t>
  </si>
  <si>
    <t>Agua sin medidor: valuación fiscal</t>
  </si>
  <si>
    <t>Título III - Capítulo 2 - art. 30 Ordenanza 10012</t>
  </si>
  <si>
    <t>Con desague cloacal: valuación fiscal</t>
  </si>
  <si>
    <t>Título III - Capítulo 3 art. 37 Ordenanza 10012</t>
  </si>
  <si>
    <t>Agua con medidor: Tasa liquidada s/Cap 2 y 3, y consumo de agua</t>
  </si>
  <si>
    <t>50% de la Tasa  Capítulo 2            100% de la Tasa Capítulo 3</t>
  </si>
  <si>
    <t>$1,80 c/m3</t>
  </si>
  <si>
    <t>$ 8,10 c/m3</t>
  </si>
  <si>
    <t>Título III - Capítulo 4 Ordenzanza 10012</t>
  </si>
  <si>
    <t>Tasa por Alumbrado Público</t>
  </si>
  <si>
    <t>Facturación de energía eléctrica</t>
  </si>
  <si>
    <t>art. 89 Ordenanza 10012</t>
  </si>
  <si>
    <t>Tasa Solidaria de Contribución para Obras Públicas</t>
  </si>
  <si>
    <t xml:space="preserve">Importe de Tasa General Inmobiliaria y Tasa por Servicios Sanitarios </t>
  </si>
  <si>
    <t>art. 19 y 27 Ordenanza 10012</t>
  </si>
  <si>
    <t>Tasa por Actuaciones Administrativas</t>
  </si>
  <si>
    <t>Importes fijos y variables según distintas categorizaciones</t>
  </si>
  <si>
    <t>Eventual</t>
  </si>
  <si>
    <t>UTR 5</t>
  </si>
  <si>
    <t>UTR 4875</t>
  </si>
  <si>
    <t>Título XV Ordenanza 10012</t>
  </si>
  <si>
    <t>Fondo Fiduciario de fortalecimiento de obras sanitarias</t>
  </si>
  <si>
    <t>Título XXI Ordenanza 10012</t>
  </si>
  <si>
    <t>Contribución Municipal sobre la Energía Eléctrica (ENERSA)</t>
  </si>
  <si>
    <t>Artículo 24º del Decreto Provincial 734/2012 - Concesión a ENERSA</t>
  </si>
  <si>
    <t>Contribuciones por Mejoras</t>
  </si>
  <si>
    <t>Metros de frente, superficie, valuación o combinación de éstas.</t>
  </si>
  <si>
    <t>Título VIII de la Parte Especial Ordenanza 6410</t>
  </si>
  <si>
    <t>Derecho de Edificación</t>
  </si>
  <si>
    <t>Valor fiscal determinado por superficie cubierta y valor del m2</t>
  </si>
  <si>
    <t>3 por mil - 9 por mil</t>
  </si>
  <si>
    <t>3 por mil</t>
  </si>
  <si>
    <t>9 por mil</t>
  </si>
  <si>
    <t>Art. 94 y 95  Ordenanza 10012</t>
  </si>
  <si>
    <t>Derechos del Cementerio Municipal</t>
  </si>
  <si>
    <t>Valores fijos según servicio prestado y ubicación</t>
  </si>
  <si>
    <t>Eventual y 
Anual</t>
  </si>
  <si>
    <t>UTR 10</t>
  </si>
  <si>
    <t>UTR 1422</t>
  </si>
  <si>
    <t>Título V Capítulo III Ordenanza 10012</t>
  </si>
  <si>
    <t>Derecho de Publicidad</t>
  </si>
  <si>
    <t>Valores fijos por unidad de medida</t>
  </si>
  <si>
    <t>UTR 6</t>
  </si>
  <si>
    <t xml:space="preserve">UTR 43,2 </t>
  </si>
  <si>
    <t>art. 84  Ordenanza 10012</t>
  </si>
  <si>
    <t>Derecho Uso de Instalaciones y Equipos Municipales</t>
  </si>
  <si>
    <t>Valores fijos según el equipo o instalación</t>
  </si>
  <si>
    <t xml:space="preserve"> </t>
  </si>
  <si>
    <t>art. 59  Ordenanza 10012</t>
  </si>
  <si>
    <t>Derecho de Ocupación de la Vía Pública</t>
  </si>
  <si>
    <t>Anual
Mensual
Diario</t>
  </si>
  <si>
    <t>UTR 0,31                     UTR 22,50                   UTR  60</t>
  </si>
  <si>
    <t>UTR 97,50                  UTR 180                    UTR 180</t>
  </si>
  <si>
    <t xml:space="preserve">art. 78 inc 1.                              art. 78 inc 2.                                    art. 78 inc 3.                                 Ord. 10012 </t>
  </si>
  <si>
    <t>Derechos por Mercados y Ferias</t>
  </si>
  <si>
    <t>Valores fijos por puestos</t>
  </si>
  <si>
    <t>Mensual              Diario</t>
  </si>
  <si>
    <t>UTR 445,20                 UTR 20</t>
  </si>
  <si>
    <t>UTR 2429             UTR 32</t>
  </si>
  <si>
    <t>art. 58  Ordenanza 10012</t>
  </si>
  <si>
    <t>Derechos por Trabajos por Cuenta de Particulares</t>
  </si>
  <si>
    <t>UTR 9</t>
  </si>
  <si>
    <t>UTR 5349,97</t>
  </si>
  <si>
    <t>Título XIV Cap. 1 y Capitulo 2 - Ordenanza 10012</t>
  </si>
  <si>
    <t>Derecho de Espectáculos Públicos</t>
  </si>
  <si>
    <t>Valores fijos por tipo de evento y valor de las entradas</t>
  </si>
  <si>
    <t>Título XVII - art. 111° inc. 1 a 6 Ordenanza 10012</t>
  </si>
  <si>
    <t>Multa por Omisión de Pago</t>
  </si>
  <si>
    <t>Importe de la obligación tributaria omitida</t>
  </si>
  <si>
    <t>10% -100%</t>
  </si>
  <si>
    <t>art 40  Parte General Código Tributario Municipal - Ord Nº 6410 -</t>
  </si>
  <si>
    <t>Multa por Incumplimiento de Deberes Formales</t>
  </si>
  <si>
    <t>Importes fijos en función del tipo de falta y tipo de persona (humana o jurídica)</t>
  </si>
  <si>
    <r>
      <t xml:space="preserve">art 39 Parte General  Código Tributario Municipal - Ord. Nº 6410 - </t>
    </r>
    <r>
      <rPr>
        <b/>
        <sz val="11"/>
        <rFont val="Calibri"/>
        <family val="2"/>
      </rPr>
      <t>Resolución Ejecutiva AFIM 6/16</t>
    </r>
  </si>
  <si>
    <t>Multa sobre Derecho de Edificación (infracciones)</t>
  </si>
  <si>
    <t>Valor de la edificación</t>
  </si>
  <si>
    <t xml:space="preserve">5% - 10%                                             Escala en función de si la presentación es espontánea o no, y según se cumplan las normas del Código Urbano </t>
  </si>
  <si>
    <t>art 95 inc 2  Ordenanza 10012</t>
  </si>
  <si>
    <t>Multa por Defraudación</t>
  </si>
  <si>
    <t>De una a diez veces el tributo que se defraudare</t>
  </si>
  <si>
    <t xml:space="preserve">art 43 Parte General Código Tributario Municipal - Ord. Nº 6410 </t>
  </si>
  <si>
    <t>Convenio Munic. De Paraná - Policía de Entre Ríos (Multas de Tránsito)</t>
  </si>
  <si>
    <t>Importes fijos</t>
  </si>
  <si>
    <t>Ordenanza 9896 y Decreto 906/20</t>
  </si>
  <si>
    <t>Derecho por el Uso de las Instalaciones de la Estación Terminal de Omnibus</t>
  </si>
  <si>
    <t>Ordenanza 10012
Ordenanza 7979</t>
  </si>
  <si>
    <t>Concesiones y Locaciones de instalaciones</t>
  </si>
  <si>
    <t>Parámetros variables</t>
  </si>
  <si>
    <t>Variable</t>
  </si>
  <si>
    <t>Decreto de otorgamiento de la concesión</t>
  </si>
  <si>
    <t>Intereses por Mora S/Oblig. Tributarias</t>
  </si>
  <si>
    <t>Multas por Infracciones</t>
  </si>
  <si>
    <t>Código de Faltas</t>
  </si>
  <si>
    <t>Recuperos del Fondo de Promoción del Empleo (FO.PROM.EM)</t>
  </si>
  <si>
    <t>Ordenanza 9405 y Convenios</t>
  </si>
  <si>
    <t>Otros Recursos No Tributarios</t>
  </si>
  <si>
    <t>Varias</t>
  </si>
  <si>
    <t>Recupero Cuotas Fondo Emergencia Econom.</t>
  </si>
  <si>
    <t>Ordenanza 9983 y Decreto 1026/21</t>
  </si>
  <si>
    <t>Convenios de Pago Juzgados de Faltas</t>
  </si>
  <si>
    <t>F.E.I.C.A.C.</t>
  </si>
  <si>
    <t>Ordenanza 8595</t>
  </si>
  <si>
    <t>Recuperos Microcreditos Economia Social</t>
  </si>
  <si>
    <t>Decreto 352/21</t>
  </si>
  <si>
    <t>Valor de la UTR vigente al 30/06/2022 $8,632</t>
  </si>
  <si>
    <t>MUNICIPIO: PIEDRAS BLANCAS</t>
  </si>
  <si>
    <t>1- Tasa Impeccion Sanitaria e Higiene</t>
  </si>
  <si>
    <t>% POR VENTAS</t>
  </si>
  <si>
    <t>TRIBUTARIA ANUAL ORDENANZA Nº206/21</t>
  </si>
  <si>
    <t>2- Tasa General</t>
  </si>
  <si>
    <t>% S/AVALUO</t>
  </si>
  <si>
    <t xml:space="preserve">3-Tasa por Derecho Instalacion de Antenas </t>
  </si>
  <si>
    <t>1- Contribucion ENEERSA</t>
  </si>
  <si>
    <t>2- Cobranza Sistema Bersa</t>
  </si>
  <si>
    <t>3- Contribucion de Mejoras -  Cloacas</t>
  </si>
  <si>
    <t>OCACIONAL</t>
  </si>
  <si>
    <t>1- Derecho Extraccion Piedra</t>
  </si>
  <si>
    <t>% S/ MTS. 3 EXTRAIDO</t>
  </si>
  <si>
    <t>2-Ingreso Camping el Saucedal</t>
  </si>
  <si>
    <t>POR UNIDAD</t>
  </si>
  <si>
    <t>3- Carnet Conductor</t>
  </si>
  <si>
    <t>4-Ingreso Camping Municipal</t>
  </si>
  <si>
    <t>5- Radio FM Municipal</t>
  </si>
  <si>
    <t>6-Extraccion de Brosa, Arena, y Suelo Seleccionado (venta)</t>
  </si>
  <si>
    <t>MONTO FIJO POR MTS.</t>
  </si>
  <si>
    <t xml:space="preserve">TRIBUTARIA ANUAL ORDENANZA Nº206/21 Y MODIFICATORIA ORD. 224/22 </t>
  </si>
  <si>
    <t>7- Servicio de agua - Alcaraz II</t>
  </si>
  <si>
    <t>8-Cementerio</t>
  </si>
  <si>
    <t>9- Comision - Aula Satelital</t>
  </si>
  <si>
    <t>% POR UNIDAD</t>
  </si>
  <si>
    <t>10- Habilitacion de Remis</t>
  </si>
  <si>
    <t>1- Alquiler Camping</t>
  </si>
  <si>
    <t>2-Alojamiento complejo Posta del Cardenal</t>
  </si>
  <si>
    <t>3- Alquiler de Maquinas</t>
  </si>
  <si>
    <t>LTS. DE GAS-OIL</t>
  </si>
  <si>
    <t>20 (LITROS)</t>
  </si>
  <si>
    <t>90 (LITROS)</t>
  </si>
  <si>
    <t xml:space="preserve">TRIBUTARIA ANUAL ORDENANZA Nº206/21, MODIFICATORIA ORDENANZA 220/22 Y MODIFICATORIA ORD. 224/22 </t>
  </si>
  <si>
    <t>4-Alojamiento Camping El Saucedal</t>
  </si>
  <si>
    <t>5- Alquiler Cantina Camping</t>
  </si>
  <si>
    <t>6- Alquiler Polideportivo</t>
  </si>
  <si>
    <t>1- Recargo por Mora y Financiacion</t>
  </si>
  <si>
    <t>PORCENTAJE</t>
  </si>
  <si>
    <t>2- Multa y Contravenciones</t>
  </si>
  <si>
    <t>MONTO VARIABLE</t>
  </si>
  <si>
    <t>3- Retencion Forzosa de vehiculos</t>
  </si>
  <si>
    <t>1- Cannon Camping</t>
  </si>
  <si>
    <t>1-Recaudacion Cantina Camping El Saucedal</t>
  </si>
  <si>
    <t>2- Recaudacion Camping IVA</t>
  </si>
  <si>
    <t>3- Recaudacion Venta en la Via Publica</t>
  </si>
  <si>
    <t>4-Reintegros IAPS</t>
  </si>
  <si>
    <t>5- Actuaciones Administrativas</t>
  </si>
  <si>
    <t>6- Venta de pliegos</t>
  </si>
  <si>
    <t>7-Ingreso por Eventos</t>
  </si>
  <si>
    <t>AMPLIACION PRESUPUESTO ORDENANZA 218/2022</t>
  </si>
  <si>
    <t>8-Recupero de prestamos</t>
  </si>
  <si>
    <t>9- Otras</t>
  </si>
  <si>
    <t>10- Venta de ladrillos</t>
  </si>
  <si>
    <t>11- Venta de Chatarra</t>
  </si>
  <si>
    <t>12-Derecho de Uso- Sala de Extracción</t>
  </si>
  <si>
    <t>MUNICIPALIDAD DE PUEBLO GRAL BELGRANO - DPTO GUALEGUAYCHU</t>
  </si>
  <si>
    <t>(2.8) PERÍODO: con el presupuesto anual, al 30 de Junio</t>
  </si>
  <si>
    <t>AÑO 2022</t>
  </si>
  <si>
    <t>PRESUPUESTO 2020</t>
  </si>
  <si>
    <t>RECAUDACIÓN 30-06</t>
  </si>
  <si>
    <t>RECAUDACIÓN 31-12</t>
  </si>
  <si>
    <t>ORD.078/2021(ORD.IMP)</t>
  </si>
  <si>
    <t>TASA ALUMBRADO PUBLICO</t>
  </si>
  <si>
    <t>FACT.COOP.ELECTR</t>
  </si>
  <si>
    <t>TASA DE HIGIENE, PROFILAXIS  Y SEGURIDAD</t>
  </si>
  <si>
    <t>TASA UNICA DE SERVICIOS ELECTRICOS</t>
  </si>
  <si>
    <t>TASA SOBRE PRESTADORES TURISTICOS</t>
  </si>
  <si>
    <t>CAMAS EXPLOTADAS</t>
  </si>
  <si>
    <t>4 CUOTAS ANUALES</t>
  </si>
  <si>
    <t>CONTRIBUCION DE MEJORAS EN GENERAL</t>
  </si>
  <si>
    <t>POR METROS DE FRENTE</t>
  </si>
  <si>
    <t>ORD.44/2014</t>
  </si>
  <si>
    <t>ORD.58/2017</t>
  </si>
  <si>
    <t>ORD.019/2018</t>
  </si>
  <si>
    <t>ORD.035/2020</t>
  </si>
  <si>
    <t>ORD.18/2021</t>
  </si>
  <si>
    <t>ORD.28/2021</t>
  </si>
  <si>
    <t>ORD.66/2021</t>
  </si>
  <si>
    <t>DERECHOS EDIFICACION</t>
  </si>
  <si>
    <t>VALOR DECLARADO</t>
  </si>
  <si>
    <t>MULTAS DE TRANSITO</t>
  </si>
  <si>
    <t>CODIGO DE FALTAS</t>
  </si>
  <si>
    <r>
      <t xml:space="preserve">MUNICIPIO:  </t>
    </r>
    <r>
      <rPr>
        <b/>
        <sz val="12"/>
        <rFont val="Calibri"/>
        <family val="2"/>
      </rPr>
      <t>PUERTO YERUA</t>
    </r>
  </si>
  <si>
    <t>TASA GENERAL INMOBILIARIA URBANO</t>
  </si>
  <si>
    <t>valor* mts(frente-cuadrados-cubierta)</t>
  </si>
  <si>
    <t>$12-$120-$240</t>
  </si>
  <si>
    <t>ORD. TRIBUTARIA Nº015/2021 cap I ART 1</t>
  </si>
  <si>
    <t>TASA COMERCIAL</t>
  </si>
  <si>
    <t>total de ventas-categoria monotributo</t>
  </si>
  <si>
    <t>según escala</t>
  </si>
  <si>
    <t>ORD. TRIBUTARIA  Nº015/2021Titulo II cap 7</t>
  </si>
  <si>
    <t>FONDO TURISMO</t>
  </si>
  <si>
    <t>total de ventas</t>
  </si>
  <si>
    <t>ORD. TRIBUTARIA Nº015/2021 Titulo XIV, art 36</t>
  </si>
  <si>
    <t>Unidad de ocupacion y zonificacion</t>
  </si>
  <si>
    <t>por servicio</t>
  </si>
  <si>
    <t>ORD.TRIBUTARIA  Nº015/2021cap II, art 17</t>
  </si>
  <si>
    <t>AGUA POTABLE</t>
  </si>
  <si>
    <t>consumo</t>
  </si>
  <si>
    <t>ORD. TRIBUTARIA  Nº015/2021cap II ,art  5</t>
  </si>
  <si>
    <t>SERVICIO DE CLOACA</t>
  </si>
  <si>
    <t>Valor fijo</t>
  </si>
  <si>
    <t>ORD. TRIBUTARIA  Nº015/2021cap II ,art  6 Inc f</t>
  </si>
  <si>
    <t>facturacion total</t>
  </si>
  <si>
    <t>ORD TRIBUTARIA Nº015/2021 cap IV art 19</t>
  </si>
  <si>
    <t>RECUPERO OBRAS DOMICILIARIAS</t>
  </si>
  <si>
    <t>ORD TRIBUTARIA Nº015/2021 cap II art 5</t>
  </si>
  <si>
    <t>VENDEDOR AMBULANTE</t>
  </si>
  <si>
    <t>por dia</t>
  </si>
  <si>
    <t>esporadico</t>
  </si>
  <si>
    <t>ORD TRIBUTARIA Nº015/2021 cap II</t>
  </si>
  <si>
    <t>DESAGOTE DOMICILIARIO</t>
  </si>
  <si>
    <t>pago servicio</t>
  </si>
  <si>
    <t>ORD TRIBUTARIA Nº015/2021 Titulo I cap II art 5</t>
  </si>
  <si>
    <t>CONTRIBUCIONES</t>
  </si>
  <si>
    <t>MEJORAS AGUA</t>
  </si>
  <si>
    <t>presupuesto</t>
  </si>
  <si>
    <t>según servicio</t>
  </si>
  <si>
    <t>13500-15000</t>
  </si>
  <si>
    <t>ORD. TRIBUTARIA Nº015/2021 cap II ,art  5</t>
  </si>
  <si>
    <t>MEJORAS CLOACAS</t>
  </si>
  <si>
    <t>33100-48600</t>
  </si>
  <si>
    <t>ORD. TRIBUTARIA Nº015/2021cap II ,art  5</t>
  </si>
  <si>
    <t>por trabajo-actuacion administrativa</t>
  </si>
  <si>
    <t>ORD.TRIBUTARIA  Nº015/2021Titulo XI, art 32</t>
  </si>
  <si>
    <t>REGISTROS DE TITULOS</t>
  </si>
  <si>
    <t>actuacion administrativa(valor de venta)</t>
  </si>
  <si>
    <t>ORD. TRIBUTARIA  Nº015/2021titulo XI ,art  31</t>
  </si>
  <si>
    <t>EXTRACCION DE MINERALES</t>
  </si>
  <si>
    <t>por tonelada s/escala</t>
  </si>
  <si>
    <t>ORD TRIBUTARIA Nº015/2021cap IV Titulo VI  art 24</t>
  </si>
  <si>
    <t xml:space="preserve">RECAUDACION DE EVENTOS </t>
  </si>
  <si>
    <t>según asistencia</t>
  </si>
  <si>
    <t>150-10000</t>
  </si>
  <si>
    <t>ORD TRIBUTARIA Nº015/2021 titulo VIII, Cap I  art 25</t>
  </si>
  <si>
    <t>HABILITACION DE COMERCIOS</t>
  </si>
  <si>
    <t>inscripcion</t>
  </si>
  <si>
    <t>ORD TRIBUTARIA  Nº015/2021titulo XI, art 35</t>
  </si>
  <si>
    <t>HABILITACION DE ANTENAS Y EQUIPOS</t>
  </si>
  <si>
    <t>Instalacion</t>
  </si>
  <si>
    <t>120000-190000</t>
  </si>
  <si>
    <t>ORD TRIBUTARIA  Nº015/2021cap III Titulo XVI  art 47</t>
  </si>
  <si>
    <t>BUNGALOWS MUNICIPALES</t>
  </si>
  <si>
    <t>por persona</t>
  </si>
  <si>
    <t>dia</t>
  </si>
  <si>
    <t>ORD TRIBUTARIA Nº015/2021 cap III Titulo III  art 18</t>
  </si>
  <si>
    <t>CAMPING MUNICIPAL</t>
  </si>
  <si>
    <t>ORD TRIBUTARIA  Nº015/2021cap III Titulo III  art 19</t>
  </si>
  <si>
    <t>MULTAS E INTERESES</t>
  </si>
  <si>
    <t>actuacion administrativa</t>
  </si>
  <si>
    <t>ORD.TRIBUTARIA Nº015/2021 -Titulo XV</t>
  </si>
  <si>
    <t>MULTAS E INFRACCIONES DE TRANSITO</t>
  </si>
  <si>
    <t>valor de combustible</t>
  </si>
  <si>
    <t>Codigo de faltas</t>
  </si>
  <si>
    <t>CANON QUINCHO MUNICIPAL</t>
  </si>
  <si>
    <t>canon s/concesion</t>
  </si>
  <si>
    <t>contrato</t>
  </si>
  <si>
    <t>OTROS INGRESOS MUNICIPALES</t>
  </si>
  <si>
    <t>venta de pliegos, etc</t>
  </si>
  <si>
    <t>S/PLIEGOS</t>
  </si>
  <si>
    <t>INGRESOS POLIDEPORTIVO</t>
  </si>
  <si>
    <t>valor ingreso</t>
  </si>
  <si>
    <t>seg.cant.ingresos</t>
  </si>
  <si>
    <t>120-250</t>
  </si>
  <si>
    <t>ORD. TRIBUTARIA Nº015/2021 Capitulo III Titulo III, art 20</t>
  </si>
  <si>
    <t>pago unico</t>
  </si>
  <si>
    <t>ORD. TRIBUTARIA  Nº015/2021Titulo XI, art 37 inc16</t>
  </si>
  <si>
    <t>COMISION ENTRE RIOS SERVICIOS</t>
  </si>
  <si>
    <t>comision s/convenio</t>
  </si>
  <si>
    <t>RECUPERO PLAN DE VIVIENDA</t>
  </si>
  <si>
    <t>contratos-plan de pagos</t>
  </si>
  <si>
    <t>VENTA DE TERRENO</t>
  </si>
  <si>
    <t>VENTA DE TERRENO A RESIDENTES</t>
  </si>
  <si>
    <t>30 SMVM - tasacion</t>
  </si>
  <si>
    <t>ORD 10/2021 ART 17 Y 22</t>
  </si>
  <si>
    <t>VENTA DE TERRENO A NO RESIDENTES</t>
  </si>
  <si>
    <r>
      <t xml:space="preserve">MUNICIPIO:  </t>
    </r>
    <r>
      <rPr>
        <b/>
        <sz val="12"/>
        <rFont val="Calibri"/>
        <family val="2"/>
      </rPr>
      <t>ROSARIO DEL TALA</t>
    </r>
  </si>
  <si>
    <t>CRITERIOS PARA COMPLETAR LA PLANILLA</t>
  </si>
  <si>
    <t>TASA POR INSP SANITARIA, HIGIENE Y PROFILAXIS</t>
  </si>
  <si>
    <t xml:space="preserve">S/FACTURACION </t>
  </si>
  <si>
    <t>OGI 1802</t>
  </si>
  <si>
    <t>TASA GENERAL POR SERVICIOS</t>
  </si>
  <si>
    <t>V. FISCAL</t>
  </si>
  <si>
    <t>TASA GENERAL POR SERVICIOS SANITARIOS Y CLOACAS</t>
  </si>
  <si>
    <t>ESPECTACULO PUBLICOS</t>
  </si>
  <si>
    <t>CANT. ENTRADAS</t>
  </si>
  <si>
    <t>POR MEJORAS</t>
  </si>
  <si>
    <t>DE EDIFICACION</t>
  </si>
  <si>
    <t>S/PROY OBRA</t>
  </si>
  <si>
    <t>FIJO</t>
  </si>
  <si>
    <t>OCUPACION DE LA VIA PUBLICA</t>
  </si>
  <si>
    <t>FIJO S/Categoria</t>
  </si>
  <si>
    <t>Por Hora</t>
  </si>
  <si>
    <t>COMEDOR Y QUIOSCO - TERMINAL DE OMNIBUS</t>
  </si>
  <si>
    <t>S/ LIC. PUB.</t>
  </si>
  <si>
    <t>CANTINA EL CEIBO</t>
  </si>
  <si>
    <t>FIJA</t>
  </si>
  <si>
    <t>FIJA S/CATEGORIA</t>
  </si>
  <si>
    <t>DISPOSIC. COMPLEMENTARIAS</t>
  </si>
  <si>
    <t>TASA EN MORA</t>
  </si>
  <si>
    <t>S/CATEGORIA</t>
  </si>
  <si>
    <t>FIJA hora  S/SERV PRESTADO</t>
  </si>
  <si>
    <t>RECURSOS PROPIOS DEL MUNICIPIO - EJECUTADO</t>
  </si>
  <si>
    <t>MUNICIPALIDAD DE SAN BENITO - RECURSOS PROPIOS 30-06-2022</t>
  </si>
  <si>
    <t>Tasa Inmobiliaria</t>
  </si>
  <si>
    <t>Avaluo de inmueb</t>
  </si>
  <si>
    <t>bimestral-anual</t>
  </si>
  <si>
    <t>$ 4.200 anual</t>
  </si>
  <si>
    <t>$ 14,040 anual</t>
  </si>
  <si>
    <t>Ord.685 y 688 HCD</t>
  </si>
  <si>
    <t>Tasa Higiene y profilaxis</t>
  </si>
  <si>
    <t>s/ingresos netos</t>
  </si>
  <si>
    <t>Planes de regularizacion</t>
  </si>
  <si>
    <t>Deuda Actualizada</t>
  </si>
  <si>
    <t>Contado o Financ.</t>
  </si>
  <si>
    <t>Financiación: 2 %</t>
  </si>
  <si>
    <t>Tasa de Servicios Sanitarios</t>
  </si>
  <si>
    <t>Por inmueble</t>
  </si>
  <si>
    <t>Fondo Municipales (recargo a tasas)</t>
  </si>
  <si>
    <t>s/tasa y derecho.</t>
  </si>
  <si>
    <t>según tasa base</t>
  </si>
  <si>
    <t>10% s/tasa</t>
  </si>
  <si>
    <t>Actuaciones Administrativos</t>
  </si>
  <si>
    <t>S/ el caso</t>
  </si>
  <si>
    <t>Carnet de Conductor</t>
  </si>
  <si>
    <t>no hay base imp</t>
  </si>
  <si>
    <t>5 años o 1 año</t>
  </si>
  <si>
    <t>Administracion de Cementerios</t>
  </si>
  <si>
    <t>Cantidad de fallecid</t>
  </si>
  <si>
    <t>Servicios Atmosfericos</t>
  </si>
  <si>
    <t>Por cada tacho</t>
  </si>
  <si>
    <t>cada vez</t>
  </si>
  <si>
    <t>Ingresos vendedores ambulantes</t>
  </si>
  <si>
    <t xml:space="preserve">s/periodo </t>
  </si>
  <si>
    <t>Ingreso mercaderias al ejido municipal</t>
  </si>
  <si>
    <t>s/tipo de camion</t>
  </si>
  <si>
    <t>Libreta Sanitaria</t>
  </si>
  <si>
    <t>6 años-Verif.Anual</t>
  </si>
  <si>
    <t>Contribucion Alumbrado Publico</t>
  </si>
  <si>
    <t>Facturado de ciudad</t>
  </si>
  <si>
    <t>Conv.ENERSA</t>
  </si>
  <si>
    <t>Derecho desagues cloacales</t>
  </si>
  <si>
    <t>Por cada inmueble</t>
  </si>
  <si>
    <t>Por unica vez</t>
  </si>
  <si>
    <t>Derecho volcado de desagote</t>
  </si>
  <si>
    <t>Por cada tanque</t>
  </si>
  <si>
    <t>Por cada uno</t>
  </si>
  <si>
    <t>3 unidades fijas</t>
  </si>
  <si>
    <t>Derecho de Espectaculos</t>
  </si>
  <si>
    <t>Cantidad Entradas</t>
  </si>
  <si>
    <t>Por cada pedido</t>
  </si>
  <si>
    <t>10% s/valor entrada</t>
  </si>
  <si>
    <t xml:space="preserve">s/espectaculo </t>
  </si>
  <si>
    <t>Habilitacion Vehiculos</t>
  </si>
  <si>
    <t>Por cada vehículo</t>
  </si>
  <si>
    <t>Según Vehículo</t>
  </si>
  <si>
    <t>Derecho  de Estadia</t>
  </si>
  <si>
    <t>Derecho Publicidad</t>
  </si>
  <si>
    <t>Alquiler de maquinas y equipos</t>
  </si>
  <si>
    <t>Alquiler p/hora</t>
  </si>
  <si>
    <t>s/el equipo</t>
  </si>
  <si>
    <t>Diferencia de Cambio</t>
  </si>
  <si>
    <t>Otros Ingresos (intereses ganados)</t>
  </si>
  <si>
    <t>Recupero de cuotas 34 viviendas</t>
  </si>
  <si>
    <t>convenio pago</t>
  </si>
  <si>
    <t>Otros Ingresos (sin especificar)</t>
  </si>
  <si>
    <t>Recupero de obra</t>
  </si>
  <si>
    <t>metros lineal</t>
  </si>
  <si>
    <t>MUNICIPIO DE SAN GUSTAVO</t>
  </si>
  <si>
    <r>
      <rPr>
        <b/>
        <sz val="12"/>
        <rFont val="Calibri"/>
        <family val="2"/>
      </rPr>
      <t>(2.8)</t>
    </r>
    <r>
      <rPr>
        <b/>
        <sz val="11"/>
        <rFont val="Calibri"/>
        <family val="2"/>
      </rPr>
      <t xml:space="preserve"> PERÍODO: PRESUPUESTADO al 31/12/2022</t>
    </r>
  </si>
  <si>
    <t xml:space="preserve">    - IMPUESTOS (discriminar)</t>
  </si>
  <si>
    <t xml:space="preserve">    - TASAS (discriminar)</t>
  </si>
  <si>
    <t>Tasa general inmobiliaria</t>
  </si>
  <si>
    <t>Avaluo fiscal</t>
  </si>
  <si>
    <t>Ord 159/21</t>
  </si>
  <si>
    <t>Tasa higiene prof. y seg.</t>
  </si>
  <si>
    <t>no</t>
  </si>
  <si>
    <t>Tasa de obras sanitarias</t>
  </si>
  <si>
    <t>Tasa de servicio cloacal</t>
  </si>
  <si>
    <t xml:space="preserve">    - CONTRIBUCIONES (discriminar)</t>
  </si>
  <si>
    <t xml:space="preserve">    - DERECHOS  (discriminar)</t>
  </si>
  <si>
    <t xml:space="preserve"> Registro de conductor</t>
  </si>
  <si>
    <t>Según categoría</t>
  </si>
  <si>
    <t>Actuaciones administrativas</t>
  </si>
  <si>
    <t xml:space="preserve"> - Inscripcion de títulos de propiedad</t>
  </si>
  <si>
    <t xml:space="preserve"> - Visacion de planos de mensura</t>
  </si>
  <si>
    <t xml:space="preserve">    - ALQUILERES (discriminar)</t>
  </si>
  <si>
    <t>Alquiler de máquinas y equipos</t>
  </si>
  <si>
    <t>Lts. Gas oil</t>
  </si>
  <si>
    <t>Servicio Atmosférico</t>
  </si>
  <si>
    <t>Servicio de conexión red cloacal</t>
  </si>
  <si>
    <t xml:space="preserve">    - MULTAS (discriminar)</t>
  </si>
  <si>
    <t xml:space="preserve">    - CONCESIONES (discriminar)</t>
  </si>
  <si>
    <t xml:space="preserve">    - OTROS (discriminar)</t>
  </si>
  <si>
    <t>MUNICIPALIDAD DE SAN JOSE</t>
  </si>
  <si>
    <r>
      <t xml:space="preserve">PERÍODO: </t>
    </r>
    <r>
      <rPr>
        <b/>
        <sz val="12"/>
        <color indexed="8"/>
        <rFont val="Calibri"/>
        <family val="2"/>
      </rPr>
      <t xml:space="preserve"> EJECUTADO JUNIO 2022</t>
    </r>
  </si>
  <si>
    <t>411102 - Inspeccion sanitaria, higiene, profilaxis y seguridad</t>
  </si>
  <si>
    <t>total facturado s/act</t>
  </si>
  <si>
    <t>Ord.Nº 50/2021</t>
  </si>
  <si>
    <t>411135 - Contribucion Usinas Electricas</t>
  </si>
  <si>
    <t>consumo energia electr</t>
  </si>
  <si>
    <t>411101 - Tasa General Inmobiliaria</t>
  </si>
  <si>
    <t>m2 s/zona y avalúo</t>
  </si>
  <si>
    <t>411110 - Tasa p/Inspeccion Per.Medidores</t>
  </si>
  <si>
    <t>411131 - Servicios Sanitarios</t>
  </si>
  <si>
    <t>m2,m3,servicio</t>
  </si>
  <si>
    <t>mensual, bimestral</t>
  </si>
  <si>
    <t>411119 - Espectáculos Pcos, Juegos, Rifas y Apuestas</t>
  </si>
  <si>
    <t>entradas,tipo espect,rifa,bono</t>
  </si>
  <si>
    <t>diario,semanal,mensual,fraccion</t>
  </si>
  <si>
    <t>411114 - Recupero desagües cloacales</t>
  </si>
  <si>
    <t>mtr frente</t>
  </si>
  <si>
    <t>contado/cuotas</t>
  </si>
  <si>
    <t>cloacas + agua</t>
  </si>
  <si>
    <t>411108 - Publicidad y propaganda</t>
  </si>
  <si>
    <t>m2,fraccion,faz,unidad</t>
  </si>
  <si>
    <t>anual/fraccion</t>
  </si>
  <si>
    <t>411136 - Balneario Municipal</t>
  </si>
  <si>
    <t>entradas,uso instalac,serv</t>
  </si>
  <si>
    <t>diario, mensual</t>
  </si>
  <si>
    <t>$ 5300</t>
  </si>
  <si>
    <t>411141 - Complejo Termal Municipal</t>
  </si>
  <si>
    <t>entradas residentes/visitantes</t>
  </si>
  <si>
    <t>411118 - Actuaciones administrativas</t>
  </si>
  <si>
    <t>concepto/trámite</t>
  </si>
  <si>
    <t>adelantado</t>
  </si>
  <si>
    <t>$ 12,25</t>
  </si>
  <si>
    <t>$ 10410,80</t>
  </si>
  <si>
    <t>411106 - Cementerio</t>
  </si>
  <si>
    <t>servicio, mtr2</t>
  </si>
  <si>
    <t>p/servicio, semestral, anual</t>
  </si>
  <si>
    <t>411117 - Construcciones</t>
  </si>
  <si>
    <t>mtr lineal,mtr2 s/valuacion</t>
  </si>
  <si>
    <t>por concepto</t>
  </si>
  <si>
    <t>411142 - Fiestas Populares</t>
  </si>
  <si>
    <t>entradas</t>
  </si>
  <si>
    <t>411207 - Fiesta Colonizacion</t>
  </si>
  <si>
    <t>entradas, plateas</t>
  </si>
  <si>
    <t>411104 - Terminal de Omnibus</t>
  </si>
  <si>
    <t>mtr2,km recorrido,bulto</t>
  </si>
  <si>
    <t>mensual, por bulto</t>
  </si>
  <si>
    <t>411103 - Salud Publica Municipal</t>
  </si>
  <si>
    <t>tramite,tipo analisis,otr</t>
  </si>
  <si>
    <t>p/servicio,analisis,mensual,anual</t>
  </si>
  <si>
    <t>411209 - Entradas Museo Historico Regional</t>
  </si>
  <si>
    <t>411107 - Rodados y Ocupacion de la Via Publica</t>
  </si>
  <si>
    <t>unidad, mtr lineal, mtr2</t>
  </si>
  <si>
    <t>mensual, bimestral,trimestral, anual</t>
  </si>
  <si>
    <t>411138 - Museo de Ciencias Naturales</t>
  </si>
  <si>
    <t>411109 - Vendedores Ambulantes</t>
  </si>
  <si>
    <t>monto estimado operac.</t>
  </si>
  <si>
    <t>diario, semanal, mensual</t>
  </si>
  <si>
    <t>411137 - Casa de la Cultura</t>
  </si>
  <si>
    <t>cuotas s/curso</t>
  </si>
  <si>
    <t>411120 - Recargos e intereses</t>
  </si>
  <si>
    <t>tasa/derecho correspondiente</t>
  </si>
  <si>
    <t>411122 - Deudores p/tasas y derechos atrasados</t>
  </si>
  <si>
    <t>s/plan de pago</t>
  </si>
  <si>
    <t>411125 - Multas Inspeccion</t>
  </si>
  <si>
    <t>insfraccion corresp.</t>
  </si>
  <si>
    <t>p/insfraccion</t>
  </si>
  <si>
    <t>Ord.Nº 03/2020</t>
  </si>
  <si>
    <t>inspecc.multas + multas inspecc</t>
  </si>
  <si>
    <t>411121 - Multas</t>
  </si>
  <si>
    <t>tributo  correspondiente</t>
  </si>
  <si>
    <t>p/multa</t>
  </si>
  <si>
    <t>multas + multas codigo tributario</t>
  </si>
  <si>
    <t>411124 - Moratoria 2020</t>
  </si>
  <si>
    <t>obligaciones adeudadas</t>
  </si>
  <si>
    <t>cuota mensual</t>
  </si>
  <si>
    <t>Ord.Nº 47/2019</t>
  </si>
  <si>
    <t>411208 - Inspeccion Mcpal Multas</t>
  </si>
  <si>
    <t>411201 - Fondo Mcpal p/Desarrollo Comunidad</t>
  </si>
  <si>
    <t>importe a tributar p/todo concepto</t>
  </si>
  <si>
    <t>conjuntamente c/tributo corresp.</t>
  </si>
  <si>
    <t>411210 - Banco de Tierras</t>
  </si>
  <si>
    <t>lote/tierra/fraccion</t>
  </si>
  <si>
    <t>Ord.Nº 27/2012</t>
  </si>
  <si>
    <t>411206 - Fondo p/obras municipales</t>
  </si>
  <si>
    <t>mtr lineal de frente</t>
  </si>
  <si>
    <t>contado/mensual</t>
  </si>
  <si>
    <t>414202 - Reintegro subsidios</t>
  </si>
  <si>
    <t>cuota</t>
  </si>
  <si>
    <t>Resoluciones DEM</t>
  </si>
  <si>
    <t>411213 - Prog.Mcpal Apoyo a Instituciones</t>
  </si>
  <si>
    <t>sueldo basico</t>
  </si>
  <si>
    <t>Ord.Nº 14/2020</t>
  </si>
  <si>
    <t>412101 - Ingresos Varios</t>
  </si>
  <si>
    <t>411211 - Fondo p/actividad turistica</t>
  </si>
  <si>
    <t>unidad, alojamiento</t>
  </si>
  <si>
    <t>$ 350,00</t>
  </si>
  <si>
    <t>Dec.191/14 DEM - Ord.Nº 50/2021</t>
  </si>
  <si>
    <t>414201 - Recupero Fondo Viviendas</t>
  </si>
  <si>
    <t>valor unitario bolsa cemento s/1º licitac.del año</t>
  </si>
  <si>
    <t>8 bolsas cemento</t>
  </si>
  <si>
    <t>recupero + plan mcpal viviendas</t>
  </si>
  <si>
    <t>411212 - Construccion Nichos</t>
  </si>
  <si>
    <t>contado/adelantado</t>
  </si>
  <si>
    <t>$ 700,00</t>
  </si>
  <si>
    <t>Ord.Nº 12/2018</t>
  </si>
  <si>
    <t>INGRESOS VARIOS MUNICIPALES / CONCEPTOS DETALLADOS PREVIAMENTE NO CLASIFICADOS EN CUENTAS ESPECÍFICAS</t>
  </si>
  <si>
    <t>ORD.13/2011</t>
  </si>
  <si>
    <t>INTERESES Y MULTAS VARIAS</t>
  </si>
  <si>
    <t>ORD.16/2011</t>
  </si>
  <si>
    <t>UNIDAD</t>
  </si>
  <si>
    <t>QUINCENA</t>
  </si>
  <si>
    <t>TERRENO MUNICIPAL</t>
  </si>
  <si>
    <t>EMPRESAS SERVICOS - TRANSPORTE | OTRA LOCALICAD</t>
  </si>
  <si>
    <t>COMERCIANTE OTRA LOCALIDAD</t>
  </si>
  <si>
    <t>CEMENTERIO - DERECHO FOSA - NICHO</t>
  </si>
  <si>
    <t xml:space="preserve">Desratización </t>
  </si>
  <si>
    <t>Desinfección y desratización - INMUEBLE</t>
  </si>
  <si>
    <t>SIN DETALLAR</t>
  </si>
  <si>
    <t>Desinfección y desratización - VEHICULOS DE CARGA</t>
  </si>
  <si>
    <t>Desinfección y desratización - VEHICULOS EN GENERAL</t>
  </si>
  <si>
    <t>Inspección higiénica de vehículos TRANSPORTE DE CARGAS SIN LOCAL COM.</t>
  </si>
  <si>
    <t>M3</t>
  </si>
  <si>
    <t>AGUA POR METRO CUBICO</t>
  </si>
  <si>
    <t>RELLENOS DE TERRENOS</t>
  </si>
  <si>
    <t>TIEMPO</t>
  </si>
  <si>
    <t>POR ZONA</t>
  </si>
  <si>
    <t>CAMION VOLCADOR</t>
  </si>
  <si>
    <t>PALA MECÁNICA - MOTONIVELADORA - RETROEXCAVADORA</t>
  </si>
  <si>
    <t>DARSENA Y PARADA - REMISES Y TAXIS - TERMINAL DE OMNIBUS</t>
  </si>
  <si>
    <t>VENTANILLA EXPENDIO PASAJES - TERMINAL DE OMNIBUS</t>
  </si>
  <si>
    <t>USO DARSENA - COLECTIVO - TERMINAL DE OMNIBUS</t>
  </si>
  <si>
    <t>PERSONA FISICA - TRABAJADOR</t>
  </si>
  <si>
    <t>CARNET SANITARIO - RENOVACION</t>
  </si>
  <si>
    <t>UNICO - ALTA</t>
  </si>
  <si>
    <t>CARNET SANITARIO - ALTA</t>
  </si>
  <si>
    <t>CEMENTERIO - INHUMACION</t>
  </si>
  <si>
    <t>ANTENAS</t>
  </si>
  <si>
    <t>SERVICIO DE TANQUE ATMOSFERICO</t>
  </si>
  <si>
    <t>ACTUACION ADMIN.- CARNET CONDUCTOR</t>
  </si>
  <si>
    <t>ACTUACION ADMIN.- INSCRIPCION TITULO</t>
  </si>
  <si>
    <t>ACTUACION ADMIN.- INSCRIPCION PLANO MENSURA</t>
  </si>
  <si>
    <t>ACTUACION ADMIN.- SOLICITUD UNIFICACION DE PROPIEDADES</t>
  </si>
  <si>
    <t>ACTUACION ADMIN.- LIBRE DEUDA - CERT. FINAL O PARCIAL DE OBRA</t>
  </si>
  <si>
    <t>ACTUACION  ADMIN.- PERMISO REUNIONES DANZANTES EN SALONES</t>
  </si>
  <si>
    <t>ACTUACION ADMIN.- CBIO DOM. COMERCIO O IND.</t>
  </si>
  <si>
    <t>ACTUACION ADMINISTRATIVA - INSC. BOLETO COMPRAVENTA</t>
  </si>
  <si>
    <t>ACTUACION ADMINISTRATIVA - PRESENTACION DE PLANOS</t>
  </si>
  <si>
    <t>EMISION CIRCULANTE EN EJIDO</t>
  </si>
  <si>
    <t>ACTUACION ADMINISTRATIVA - RIFAS DE EMISION NO LOCAL</t>
  </si>
  <si>
    <t>TOTAL EMITIDO</t>
  </si>
  <si>
    <t>ACTUACION ADMINISTRATIVA - RIFAS DE EMISION LOCAL</t>
  </si>
  <si>
    <t>POR EVENTO / VENTA ENTRADAS</t>
  </si>
  <si>
    <t>ACTUACION ADMINISTRATIVA - ESPECTACULO PUBLICO</t>
  </si>
  <si>
    <t>Inspección bromatológica</t>
  </si>
  <si>
    <t>ACTUACION ADMIN.- VARIOS</t>
  </si>
  <si>
    <t>ORD.03/2004 Y 09/1984</t>
  </si>
  <si>
    <t>CONSUMO</t>
  </si>
  <si>
    <t>Contribución especial servicios eléctricos</t>
  </si>
  <si>
    <t>METRO CUBICO DE AGUA</t>
  </si>
  <si>
    <t>inmuble (edificado o baldío)</t>
  </si>
  <si>
    <t>Provisión de agua potable y/o cloaca (un solo servicio)</t>
  </si>
  <si>
    <t>terrenos según zonas de localización, con diferete monto si son baldío o construido</t>
  </si>
  <si>
    <t>Provisión de agua potable  y cloaca</t>
  </si>
  <si>
    <t>3.5%</t>
  </si>
  <si>
    <t>0.5%</t>
  </si>
  <si>
    <t>1.6%</t>
  </si>
  <si>
    <t>monto de ventas</t>
  </si>
  <si>
    <t>TASA POR INSPECCION SANITARIA, HIGIENE, SEGURIDAD Y PROFILAXIS</t>
  </si>
  <si>
    <t>PERÍODO: EJECUTADO AL 30/06/2022</t>
  </si>
  <si>
    <t>MUNICIPIO:  MUNICIPALIDAD DE SAN JAIME DE LA FRONTERA</t>
  </si>
  <si>
    <r>
      <t xml:space="preserve">MUNICIPIO:  </t>
    </r>
    <r>
      <rPr>
        <b/>
        <sz val="12"/>
        <color indexed="10"/>
        <rFont val="Calibri"/>
        <family val="2"/>
      </rPr>
      <t>SAN SALVADOR</t>
    </r>
  </si>
  <si>
    <r>
      <t>(2.8) PERÍODO: EJECUTADO A JUNIO</t>
    </r>
    <r>
      <rPr>
        <b/>
        <sz val="12"/>
        <color indexed="10"/>
        <rFont val="Calibri"/>
        <family val="2"/>
      </rPr>
      <t xml:space="preserve"> 2022</t>
    </r>
  </si>
  <si>
    <t>ORD.1598/2021</t>
  </si>
  <si>
    <t>TASA POR INSPECCIÓN SANITARIA, HIGIENE, PROFILAXIS Y SEGURIDAD</t>
  </si>
  <si>
    <t>POR CONTRO BROMATOLOGICO E INSPECCION VETERINARIA</t>
  </si>
  <si>
    <t>POR LIBRETA SANITARIA E INSPECCION SANITARIA DE VEHICULOS</t>
  </si>
  <si>
    <t>POR DESINFECCIÓN, DESRATIZACIÓN, VACUNACION Y DESPARASITACION</t>
  </si>
  <si>
    <t>POR PUBLICIDAD Y PROPAGANDA</t>
  </si>
  <si>
    <t>TASA POR ALUMBRADO PUBLICO</t>
  </si>
  <si>
    <t>TASA CEMENTERIO</t>
  </si>
  <si>
    <t>TASA POR ACTUACIONES ADMINISTRATIVAS</t>
  </si>
  <si>
    <t>RELACIONADOS CON SERVICIOS DIVERSOS (TITULO IV ART.19)</t>
  </si>
  <si>
    <t>DEUDORES</t>
  </si>
  <si>
    <t>FONDO DE PROMOCIÓN SOCIAL</t>
  </si>
  <si>
    <t>ORD.814/2005</t>
  </si>
  <si>
    <t>FONDO MUNICIPAL PARA LA SALUD</t>
  </si>
  <si>
    <t>ORD.1573/2021</t>
  </si>
  <si>
    <t>PAVIMENTO</t>
  </si>
  <si>
    <t>ORD.1597/2021</t>
  </si>
  <si>
    <t>CORDÓN CUNETA</t>
  </si>
  <si>
    <t>AGUA Y CLOACAS</t>
  </si>
  <si>
    <t>DE EDIFICACIÓN</t>
  </si>
  <si>
    <t>USO DE ANDENES</t>
  </si>
  <si>
    <t>COMEDOR TERMINAL</t>
  </si>
  <si>
    <t>CABINAS TERMINAL</t>
  </si>
  <si>
    <t>PATIO DE COMIDAS (CARRITO)</t>
  </si>
  <si>
    <t>DE TRANSITO CON CONVENIO</t>
  </si>
  <si>
    <t>CONVENIO</t>
  </si>
  <si>
    <t>DE TRANSITO SIN CONVENIO</t>
  </si>
  <si>
    <t>RENTAS DE LA PROPIEDAD</t>
  </si>
  <si>
    <t>INTERESES POR DEPOSITOS</t>
  </si>
  <si>
    <t>RESULTADO POR TENENCIA DE MONEDA EXTRANJERA</t>
  </si>
  <si>
    <t>FIESTA DEL ARROZ</t>
  </si>
  <si>
    <t>VENTA DE BIENES</t>
  </si>
  <si>
    <t>VENTA RSU</t>
  </si>
  <si>
    <t>VENTA DE SERVICIOS</t>
  </si>
  <si>
    <t>NATATORIO MUNICIPAL</t>
  </si>
  <si>
    <t>HOGARD E ANCIANOS</t>
  </si>
  <si>
    <t>TRANSPORTE TRAFFIC</t>
  </si>
  <si>
    <t>MANTENIMIENTO RN 18</t>
  </si>
  <si>
    <t>RECURSOS PROPIOS DE CAPITAL</t>
  </si>
  <si>
    <t>VENTA DE TIERRAS</t>
  </si>
  <si>
    <t>RECUPEROS Y REEMBOLSOS</t>
  </si>
  <si>
    <r>
      <rPr>
        <b/>
        <sz val="12"/>
        <rFont val="Calibri"/>
        <family val="2"/>
      </rPr>
      <t>(2.8)</t>
    </r>
    <r>
      <rPr>
        <b/>
        <sz val="11"/>
        <rFont val="Calibri"/>
        <family val="2"/>
      </rPr>
      <t xml:space="preserve"> PERÍODO: Ejecutado al 30-06-2022</t>
    </r>
  </si>
  <si>
    <t>Tasa por Inspección, Sanitaria, higiene, profilaxis y seguridad</t>
  </si>
  <si>
    <t>Ingresos brutos deb.</t>
  </si>
  <si>
    <t xml:space="preserve"> -</t>
  </si>
  <si>
    <t>Ord.  36/2021</t>
  </si>
  <si>
    <t>Valuacion fiscal</t>
  </si>
  <si>
    <r>
      <t xml:space="preserve">4,5 </t>
    </r>
    <r>
      <rPr>
        <sz val="11"/>
        <color indexed="8"/>
        <rFont val="Calibri"/>
        <family val="2"/>
      </rPr>
      <t>‰</t>
    </r>
  </si>
  <si>
    <t>8 ‰</t>
  </si>
  <si>
    <t>Tasa de alumbrado público</t>
  </si>
  <si>
    <t>Kv/h</t>
  </si>
  <si>
    <t>Servicio Social Municipal</t>
  </si>
  <si>
    <t>Servicios Sanitarios (Tasa de red cloacal)</t>
  </si>
  <si>
    <t>Tasas atrasadas y convenios de pago</t>
  </si>
  <si>
    <t>Obligaciones</t>
  </si>
  <si>
    <t>Contribución Energía Eléctrica</t>
  </si>
  <si>
    <t>Mejoras (Obra Pública)</t>
  </si>
  <si>
    <t>M. de frente</t>
  </si>
  <si>
    <t>Por obra realizada</t>
  </si>
  <si>
    <t>Utilizacion de la via pública</t>
  </si>
  <si>
    <t>Metro lineal o M2</t>
  </si>
  <si>
    <t>Derechos de edificación</t>
  </si>
  <si>
    <t>Monto obra</t>
  </si>
  <si>
    <t>A solicitud</t>
  </si>
  <si>
    <t>3 ‰</t>
  </si>
  <si>
    <t>Uso de equipos e instalaciones</t>
  </si>
  <si>
    <t>Costo</t>
  </si>
  <si>
    <t>Espectáculos Publicos, diversos y valores sorteables</t>
  </si>
  <si>
    <t>Entradas</t>
  </si>
  <si>
    <t>Por espectáculo</t>
  </si>
  <si>
    <t>Concesión de nichos y terrenos y otros derechos de Cementerio</t>
  </si>
  <si>
    <t>Permiso de uso y habilitacion de locales</t>
  </si>
  <si>
    <t>Transito</t>
  </si>
  <si>
    <t>S/infraccion</t>
  </si>
  <si>
    <t>15 lts</t>
  </si>
  <si>
    <t>100 lts</t>
  </si>
  <si>
    <t>Incumplimientos formales</t>
  </si>
  <si>
    <t>Recargos e intereses</t>
  </si>
  <si>
    <t xml:space="preserve">Obligaciones </t>
  </si>
  <si>
    <t>Fondo Municipal de promoción de la publicidad y el turismo</t>
  </si>
  <si>
    <t>Tasa ISHPS, Inmobiliaria</t>
  </si>
  <si>
    <r>
      <t xml:space="preserve">MUNICIPIO DE  </t>
    </r>
    <r>
      <rPr>
        <b/>
        <sz val="12"/>
        <rFont val="Calibri"/>
        <family val="2"/>
      </rPr>
      <t>TABOSSI</t>
    </r>
  </si>
  <si>
    <t xml:space="preserve">RECURSOS PROPIOS DEL MUNICIPIO </t>
  </si>
  <si>
    <t>Superficie en M2</t>
  </si>
  <si>
    <t>O.I.A 661/2021</t>
  </si>
  <si>
    <t>T.I.S.H.P.S.</t>
  </si>
  <si>
    <t>Facturación</t>
  </si>
  <si>
    <t>Participación Energía Electrica</t>
  </si>
  <si>
    <t>Fondo Municipal de Turismo</t>
  </si>
  <si>
    <t>Derecho de Inspección de Antenas</t>
  </si>
  <si>
    <t>Otros (comisión por cobro fact.luz y comisión E.Ríos Servicios)</t>
  </si>
  <si>
    <t>Derecho Oficina y Sellos</t>
  </si>
  <si>
    <t>Carnet de Conducir</t>
  </si>
  <si>
    <t>Derecho de Cementerio</t>
  </si>
  <si>
    <t>Inspección de pesas y medidas</t>
  </si>
  <si>
    <t>Derecho conexión cloacas</t>
  </si>
  <si>
    <t>Fotocopias</t>
  </si>
  <si>
    <t>Alquiler de inmuebles</t>
  </si>
  <si>
    <t>Recargo por Moras</t>
  </si>
  <si>
    <t>Multa por Infracciones</t>
  </si>
  <si>
    <t>Ingreso por Venta de terreno</t>
  </si>
  <si>
    <t>Reembolso Prestamos</t>
  </si>
  <si>
    <t>Intereses plazo fijo</t>
  </si>
  <si>
    <t>ADMINISTRACION PUBLICA MUNICIPAL NO FINANCIERA: MUNICIPALIDAD DE UBAJAY</t>
  </si>
  <si>
    <r>
      <rPr>
        <b/>
        <sz val="12"/>
        <rFont val="Calibri"/>
        <family val="2"/>
      </rPr>
      <t>(2.8)</t>
    </r>
    <r>
      <rPr>
        <b/>
        <sz val="11"/>
        <rFont val="Calibri"/>
        <family val="2"/>
      </rPr>
      <t xml:space="preserve"> PERÍODO:  al 30 de junio de 2022 (ejecutado)</t>
    </r>
  </si>
  <si>
    <t>INSPECCION DE HIGIENE</t>
  </si>
  <si>
    <t>9%o</t>
  </si>
  <si>
    <t>3%o</t>
  </si>
  <si>
    <t>Ord.Trib.Nº414/21</t>
  </si>
  <si>
    <t>BARRIDO Y LIMPIEZA</t>
  </si>
  <si>
    <t>M2 de frente</t>
  </si>
  <si>
    <t>S/UBICAC.</t>
  </si>
  <si>
    <t>TASA POR ANTENAS</t>
  </si>
  <si>
    <t>SERV.SANITARIOS</t>
  </si>
  <si>
    <t>S/OBRA</t>
  </si>
  <si>
    <t>SERV.VARIOS</t>
  </si>
  <si>
    <t>POR TRAMITE</t>
  </si>
  <si>
    <t>CUOTA PILETAS MUNICIPALES</t>
  </si>
  <si>
    <t>EXPED.O RENOVACION DE CARNET</t>
  </si>
  <si>
    <t>DERECHOS DE ESPECT.PUBLICOS</t>
  </si>
  <si>
    <t>CATEGORIA</t>
  </si>
  <si>
    <t>S/UBICACIÓN</t>
  </si>
  <si>
    <t>CUOTA REINT.POR VIVIENDAS</t>
  </si>
  <si>
    <t>S/INFRAC.</t>
  </si>
  <si>
    <t xml:space="preserve">    - OTRAS</t>
  </si>
  <si>
    <t xml:space="preserve">COMISIONES </t>
  </si>
  <si>
    <t>Ord.Pres.Nº374/20</t>
  </si>
  <si>
    <t>INTERESES PLAZO FIJO</t>
  </si>
  <si>
    <t>ENTRADAS EXTRAORDINARIAS</t>
  </si>
  <si>
    <t>MUNICIPALIDAD DE URDINARRAIN</t>
  </si>
  <si>
    <t>(2.8) PERÍODO: Ejecutado al 30-06-2022</t>
  </si>
  <si>
    <t>ADMINISTRACION CENTRAL</t>
  </si>
  <si>
    <t>OBSERVACIONES</t>
  </si>
  <si>
    <t>NO POSEE</t>
  </si>
  <si>
    <t>TASA POR INSP. SANITARIA, HIGIENE, PROFILAXIS Y SEGURIDAD</t>
  </si>
  <si>
    <t>INGR. BRUTOS FACTURADOS</t>
  </si>
  <si>
    <t>ORD.IMP. 1443/21 ART. 2</t>
  </si>
  <si>
    <t>INCLUYE TASA CORRIENTE Y  ATRASADA</t>
  </si>
  <si>
    <t>METROS FRENTE POR ZONA</t>
  </si>
  <si>
    <t>BIMETRAL / ANUAL</t>
  </si>
  <si>
    <t>ORD.IMP. 1443/21 ART. 1</t>
  </si>
  <si>
    <t>RECAUD. INCLUYE TASA CORRIENTE Y  ATRASADA</t>
  </si>
  <si>
    <t>TASA DE SERVICIOS SANITARIOS (AGUA Y CLOACAS)</t>
  </si>
  <si>
    <t>POR M3 C/MINIMO</t>
  </si>
  <si>
    <t>ORD.190/89-1443/21 ART.28</t>
  </si>
  <si>
    <t>FONDO MUNICIPAL DE PROMOCIÓN DE LA COMUNIDAD Y TURISMO-20%</t>
  </si>
  <si>
    <t>TASAS MUNICIPALES</t>
  </si>
  <si>
    <t>MEN/BIM/ANUAL</t>
  </si>
  <si>
    <t>ORD.IMP. 1443/21 ART.20</t>
  </si>
  <si>
    <t>RECARGO 20% SOBRE TASA GENERAL INMOBILIARIA - T.I.SH.P.Y S. - ALQUILER DE EQUIPOS</t>
  </si>
  <si>
    <t>CONTRIBUCION UNICA E.N.E.R.S.A.</t>
  </si>
  <si>
    <t>FACTURACION ENERSA</t>
  </si>
  <si>
    <t>D.734/12 ER-CONV.ART. 34 CONT.UNICA</t>
  </si>
  <si>
    <t>CONTRIBUCION UNICA ENERSA POR TODA TASA Y DCHOS. MLES. - DISCRIMINADA EN LA FACTURACION COMO 8,6956% - SUJETA A COMPENSACION POR SERVICIOS DE ENERGIA DEL MUNICIPIO</t>
  </si>
  <si>
    <t xml:space="preserve">INSPECCIÓN PER. DE INSTAL.Y MED.ELÉCTRICOS Y REPOS.DE LAMPARAS </t>
  </si>
  <si>
    <t>ORD.IMP. 1443/21 ART. 15</t>
  </si>
  <si>
    <t>PERCEPCION EN FACTURACION DE ENERSA - SUJETA A COMPENSACION POR SERVICIOS DE ENERGIA DEL MUNICIPIO - ALICUOTA SEGÚN TIPO CONSUMO</t>
  </si>
  <si>
    <t>FONDO S/TASA DE SERVICIOS DE AGUA Y CLOACA ( 20%)</t>
  </si>
  <si>
    <t>% SOBRE TASA AGUA Y CLOAC.</t>
  </si>
  <si>
    <t>ORDENANZA 450/02</t>
  </si>
  <si>
    <t>RECARGO 20% SOBRE TASA DE SERVICIO DE  AGUA Y CLOACAS</t>
  </si>
  <si>
    <t xml:space="preserve">FONDO MUNICIPAL DE PROMOCIÓN DE LA COMUNIDAD Y TURISMO -6% </t>
  </si>
  <si>
    <t>% SOBRA TASA GENERAL INM.</t>
  </si>
  <si>
    <t>BIM/ANUAL</t>
  </si>
  <si>
    <t>ORD.246/93 - 741/09 art.5</t>
  </si>
  <si>
    <t>RECARGO 6% SOBRE TASA GENERAL INMOBILIARIA</t>
  </si>
  <si>
    <t>FONDO PARA LA DEFENSA CIVIL</t>
  </si>
  <si>
    <t>MONTO FIJO SEGÚN TASA</t>
  </si>
  <si>
    <t>ORD.943/14 Y 1443/21 ART.26</t>
  </si>
  <si>
    <t>SE ADICIONA A LA TASA GENERAL INMOBILIARIA UN MONTO FIJO DE $  40 X BIMESTRE Y A LA TASA DE SERVICIOS DE AGUA Y CLOACAS $ 26 POR BIMESTRE</t>
  </si>
  <si>
    <t>TASA POR CONTROL TÉCNICO, INSPECCIÓN SANITARIA, HIGIENE, PROFILAXIS Y
SEGURIDAD, DERECHOS Y SERVICIOS VARIOS</t>
  </si>
  <si>
    <t>MONTO FIJO X ACT.</t>
  </si>
  <si>
    <t>ORD.IMP.1443/21 ART. 27</t>
  </si>
  <si>
    <t>TASA DE CASINOS</t>
  </si>
  <si>
    <t>UTILIDAD BRUTA</t>
  </si>
  <si>
    <t>ORD.IMP. 1443/21 ART. 11</t>
  </si>
  <si>
    <t>SE LIQUIDA EN BASE A DECLARACIONES JURADAS DEL IAFAS</t>
  </si>
  <si>
    <t>TASA POR INSPECCIÓN DE ANTENAS DE COMUNICACION Y SUS ESTRUCTURAS
PORTANTES</t>
  </si>
  <si>
    <t>POR ANTENA</t>
  </si>
  <si>
    <t>ORD.IMP.1443/21 ART. 25</t>
  </si>
  <si>
    <t>LAS EMPRESAS DE TELEFONIA PAGAN DICHA TASA EN FUNCION DE LA ALTURA DE LAS ANTENAS DE 0 A 20 METROS $ 70.000 DE 20  A 40 METROS $ 105.000 Y MAS DE 40 METROS $ 135.000</t>
  </si>
  <si>
    <t>FONDO ESP. CONST.VIVIENDAS SOC.MPALES Y COMPRA TERRENOS/FONDO BCO.MPAL. DE TIERRA</t>
  </si>
  <si>
    <t>RECUPERO VTA.TERRENOS</t>
  </si>
  <si>
    <t>ORDENANZA 484/11 -784/11 - 1336/20</t>
  </si>
  <si>
    <t>CONTRIBUCION POR MEJORAS PAVIMENTO URBANO</t>
  </si>
  <si>
    <t>METRO DE FRENTE</t>
  </si>
  <si>
    <t xml:space="preserve">ORD.IMP.1443/21 ART. 16 </t>
  </si>
  <si>
    <t>SISTEMA DE CONSORCIOS DE VECINOS APROBADOS POR ORDENANZA - SE FACTURA A LOS FRENTISTAS EL COSTO TOTAL DE LA OBRA C/OPCION PAGO EN CUOTAS</t>
  </si>
  <si>
    <t>CONTRIBUCION POR MEJORAS AMPLIACIÓN RED CLOACAL</t>
  </si>
  <si>
    <t>CONTRIBUCION POR MEJORAS ILUMINACIÓN</t>
  </si>
  <si>
    <t>CONTRIBUCION POR MEJORAS AMPLIACIÓN RED AGUA</t>
  </si>
  <si>
    <t>CONTRIBUCION POR MEJORAS ENRIPIADO URBANO</t>
  </si>
  <si>
    <t>CARNET DE CONDUCTOR</t>
  </si>
  <si>
    <t>X UNIDADES</t>
  </si>
  <si>
    <t>ORD.IMP. 1443/21 ART. 23</t>
  </si>
  <si>
    <t>CARNET CONDUCTOR 2 AÑOS $ 700; 3 AÑOS $980; 5 AÑOS $ 1530 - DUPLICADOS POR EXTRAVIO 50% DEL VALOR DEL CARNET.</t>
  </si>
  <si>
    <t>DERECHOS CEMENTERIO (ATENCION Y LIMPIEZA)</t>
  </si>
  <si>
    <t>ORD.IMP. 1443/21 ART. 8 INC. 1 AL 6 Y 12</t>
  </si>
  <si>
    <t>SE COBRA POR ATENCION Y LIMPIEZA DEL CEMENTERIO NICHOS, TERRENOS, LOTES, PANTEONES, - RECAUD. INCLUYE TASA CORRIENTE Y  ATRASADA</t>
  </si>
  <si>
    <t>ACTUACIONES ADMINISTRATIVAS (DERECHOS DE OFICINA Y SELLADOS)</t>
  </si>
  <si>
    <t>ORD.IMP. 1443/21 ART. 19 -INC.1 A 6</t>
  </si>
  <si>
    <t>VALOR DE SELLADO SEGÚN TRÁMITE</t>
  </si>
  <si>
    <t>DERECHOS DE CONCESIÓN CEMENTERIO MPAL. (GALERÍA DE NICHOS)</t>
  </si>
  <si>
    <t>MONTO FIJO X AÑOS</t>
  </si>
  <si>
    <t>5 AÑOS/ 35 AÑOS</t>
  </si>
  <si>
    <t>ORD.IMP. 1443/21 ART. 8 INC.7 AL 11 Y 14</t>
  </si>
  <si>
    <t>SE COBRA EL ARRENDAMIENTO DE NICHOS, TERRENOS, LOTES, PANTEONES DEL CEMENTERIO A 5 AÑOS O 35 AÑOS A OPCION DEL TITULAR</t>
  </si>
  <si>
    <t>DERECHOS BALNEARIO CAMPING MUNICIPAL</t>
  </si>
  <si>
    <t>POR PERSONA/VEHICULO</t>
  </si>
  <si>
    <t>TEMPORADA</t>
  </si>
  <si>
    <t>ORD. 1434/21</t>
  </si>
  <si>
    <t>DERECHOS DEL BALNEARIO CAMPING MUNICIPAL -SEGÚN VALORES ESTABLECIDOS POR ORDENANZA Nº 1098/16</t>
  </si>
  <si>
    <t>DERECHOS DE CONEXIÓN DE AGUA Y CLOACAS</t>
  </si>
  <si>
    <t>LIQUID.ADMIN.</t>
  </si>
  <si>
    <t>ORD.190/89-1443/21 ART.28 PUNTO 2</t>
  </si>
  <si>
    <t>USO DE EQUIPOS E INSTAL.-MAQUINARIAS</t>
  </si>
  <si>
    <t>X HORA  /ADIC.KM</t>
  </si>
  <si>
    <t xml:space="preserve">OR.IMP. 1443/21 ART.7 INC.1 </t>
  </si>
  <si>
    <t>REGISTRO TÍTULOS</t>
  </si>
  <si>
    <t>OR.IMP. 1443/21 ART.19 INC.7º</t>
  </si>
  <si>
    <t>SE COBRA UN DERECHO % SOBRE EL VALOR DE LA OPERACIÓN (TITULO) CON UN MINIMO DE $42 Y UN MAXIMO DE $ 685</t>
  </si>
  <si>
    <t>DERECHO DE CONTROL DE CARGAS</t>
  </si>
  <si>
    <t>VALOR FLETE</t>
  </si>
  <si>
    <t>ORDENANZA 362/00</t>
  </si>
  <si>
    <t>SEGÚN ORDENANZA 362/00</t>
  </si>
  <si>
    <t xml:space="preserve">INGRESOS VARIOS </t>
  </si>
  <si>
    <t>POR EVENTO</t>
  </si>
  <si>
    <t xml:space="preserve">MONTO FIJO POR CAMPAÑA </t>
  </si>
  <si>
    <t>ORD.IMP. 1443/21 ART. 10</t>
  </si>
  <si>
    <t>SE COBRA A LA PUBLICIDAD RODANTE O REALIZADA EN LA VIA PUBLICA. RESULTAN EXCEPTUADOS DEL PAGO DEL PRESENTE, LOS PARTIDOS POLÍTICOS, LAS INSTITUCIONES SIN FINES DE LUCRO, LOS CONTRIBUYENTES INSCRIPTOS EN LA TASA POR INSPECCIÓN SANITARIA, HIGIENE, PROFILAXIS Y SEGURIDAD DE LA MUNICIPALIDAD DE URDINARRAIN, Y LAS REALIZADAS DENTRO O EN EL MARCO DE FIESTAS, FESTIVALES O EVENTOS DETERMINADOS, ORGANIZADOS POR INSTITUCIONES SIN FINES DE LUCRO. NO SE COBRA LA PUBLICIDAD EN EL INTERIOR Y/O EXTERIOR DE LOCALES.</t>
  </si>
  <si>
    <t>USO DE EQUIPOS E INSTAL.-TANQUE DE AGUA Y ATMOSF.</t>
  </si>
  <si>
    <t>X UNIDADES / HS</t>
  </si>
  <si>
    <t>ORD.IMP. 1443/21 ART. 7 INC.2-3</t>
  </si>
  <si>
    <t>DERECHOS DE EDIFICACIÓN -(DERECHO DE CONSTRUCCIONES)</t>
  </si>
  <si>
    <t>ORD.IMP. 1443/21 ART. 17</t>
  </si>
  <si>
    <t>LIQUIDACION EN BASE A ALICUOTA SEGÚN PRESUPUESTO / TASACION - PROYECTO CONSTR. 0,3% RELEVAMIENO OBRA 1%</t>
  </si>
  <si>
    <t>TERMINAL DE OMNIBUS (ALQUILER BOLETERIAS Y BUFFET)</t>
  </si>
  <si>
    <t>BOLETERIA UNICA</t>
  </si>
  <si>
    <t>ORD.IMP. 1443/21 ART. 6 INC.A-B</t>
  </si>
  <si>
    <t>SALUD PÚBLICA MUNCIPAL</t>
  </si>
  <si>
    <t>ORD.IMP.1443/21 ART. 3-5</t>
  </si>
  <si>
    <t>SE COBRA POR CARNET SANITARIO - E INSPECCION DE VEHICULOS</t>
  </si>
  <si>
    <t xml:space="preserve">TRABAJO POR CUENTA DE PARTICULARES </t>
  </si>
  <si>
    <t>OR.IMP. 1443/21 ART.22</t>
  </si>
  <si>
    <t>DERECHOS VARIOS DEL CEMENTERIO MUNICIPAL (RESTO DE DCHOS.)</t>
  </si>
  <si>
    <t>MONTOS FIJOS</t>
  </si>
  <si>
    <t>ORD.IMP. 1443/21 ART. 8 INC.1 AL 6</t>
  </si>
  <si>
    <t>SE COBRA SELLADO SEGÚN EL TRAMITE DEL CEMENTERIO</t>
  </si>
  <si>
    <t>OCUPACIÓN DE LA VÍA PÚBLICA</t>
  </si>
  <si>
    <t>ORD.IMP. 1443/21 ART. 9</t>
  </si>
  <si>
    <t>SE COBRA PUESTOS EN EL PARQUE SAN MARTIN</t>
  </si>
  <si>
    <t>OTRAS TASAS ATRASADA</t>
  </si>
  <si>
    <t>DERECHO DE ESPECTÁCULOS PUBLICOS, DIVERSIONES Y RIFAS</t>
  </si>
  <si>
    <t>SEGÚN RIFA</t>
  </si>
  <si>
    <t>ORD.IMP.1443/21 ART.12-13</t>
  </si>
  <si>
    <t xml:space="preserve">ESPECTACULOS PUBLICOS Y RIFAS ORG. POR INSTITUCIONES EXENTOS </t>
  </si>
  <si>
    <t>USO DE ANDÉN TERMINAL DE OMNIBUS</t>
  </si>
  <si>
    <t>POR OMNIBUS</t>
  </si>
  <si>
    <t>ORD.IMP. 1443/21 ART. 6 INC.C</t>
  </si>
  <si>
    <t>FIJO X VENDEDOR</t>
  </si>
  <si>
    <t>ORD.IMP. 1443/21 ART. 14</t>
  </si>
  <si>
    <t>ALQUILER DE INMUEBLES</t>
  </si>
  <si>
    <t>RECARGOS POR MORA (INTERESES)</t>
  </si>
  <si>
    <t>PORCENTAJE S/TASAS</t>
  </si>
  <si>
    <t>SIN PERIODICIDAD</t>
  </si>
  <si>
    <t>COD.TRIB.MPAL.ORD.15/84</t>
  </si>
  <si>
    <t>MULTAS POR INFRACCIONES DE TRÁNSITO</t>
  </si>
  <si>
    <t>ORD. 794/11 -LEY NAC.TRANS.</t>
  </si>
  <si>
    <t>OTRAS MULTAS</t>
  </si>
  <si>
    <t>MULTAS TASA DE COMERCIO</t>
  </si>
  <si>
    <t>MULTAS O.M.I.C.</t>
  </si>
  <si>
    <t>ORD.1080/16 ART.10</t>
  </si>
  <si>
    <t>INTERESES COLOCACIONES TRANSITORIA</t>
  </si>
  <si>
    <t xml:space="preserve">SEGÚN TASA PF </t>
  </si>
  <si>
    <t>TOTAL RECURSOS PROPIOS ADMINISTRACION CENTRAL</t>
  </si>
  <si>
    <t>INSTITUCIONES DE LA SEGURIDAD SOCIAL</t>
  </si>
  <si>
    <t>DERECHO POR GASTOS ADMINISTRATIVOS PRESTAMOS</t>
  </si>
  <si>
    <t>SALDO CAPITAL PRESTAMOS</t>
  </si>
  <si>
    <t>RESOLUCION Nº 011/18</t>
  </si>
  <si>
    <t>PRIMAS DE SEGURO PRESTAMOS</t>
  </si>
  <si>
    <t>MONTO CAPITAL PRESTAMOS</t>
  </si>
  <si>
    <t>ARRENDAMIENTO INMUEBLES</t>
  </si>
  <si>
    <t>S/HA DE CAMPO</t>
  </si>
  <si>
    <t>MENSUAL/ANUAL</t>
  </si>
  <si>
    <t>S/CONTRATOS</t>
  </si>
  <si>
    <t>ALQUILERES INMUEBLES</t>
  </si>
  <si>
    <t>MULTAS E INDEMNIZACIONES</t>
  </si>
  <si>
    <t>APORTES Y CONTRIBUCIONES A LA SEGURIDAD SOCIAL</t>
  </si>
  <si>
    <t>HABERES REMUNERATIVOS</t>
  </si>
  <si>
    <t>ORD. 339/99 ART. 13</t>
  </si>
  <si>
    <t>16% APORTE PERSONAL Y 16% APORTE PATRONAL</t>
  </si>
  <si>
    <t>INTERESES</t>
  </si>
  <si>
    <t>S/PREST.- PLAZOS FIJOS - OB.N.</t>
  </si>
  <si>
    <t>Intereses + Utilidades</t>
  </si>
  <si>
    <t>VENTA DE TIERRAS Y TERRENOS</t>
  </si>
  <si>
    <t>ORD. 1227/18</t>
  </si>
  <si>
    <t>UTILIDADES</t>
  </si>
  <si>
    <t>TOTAL RECURSOS PROPIOS INSTITUCIONES DE LA SEGURIDAD SOCIAL</t>
  </si>
  <si>
    <t>NO INCLUYE RECUPERO DE CREDITOS, NI VENTA DE TITULOS Y VALORES,NI REMANENTE DE EJERC. ANTERIOR</t>
  </si>
  <si>
    <t>ORGANISMOS DESCENTRALIZADOS</t>
  </si>
  <si>
    <t>TASA RETRIBUTIVA DE SERVICIOS GENERALES</t>
  </si>
  <si>
    <t xml:space="preserve">GASTOS/ M2 DE SUPERFICIE </t>
  </si>
  <si>
    <t>TRIMESTRAL</t>
  </si>
  <si>
    <t>ORDENANZA Nº 777/10 CAP.1º</t>
  </si>
  <si>
    <t>EL TOTAL DE GASTOS DE MANTENIMIENTO DEL PARQUE INDUSTRIAL SE PRORRATEA EN BASE A LA SUPERFICIE</t>
  </si>
  <si>
    <t>TASA POR SERVICIO DE AGUA Y CLOACA</t>
  </si>
  <si>
    <t>ORDENANZA Nº 777/10 CAP.2º -ORD.1453/21</t>
  </si>
  <si>
    <t>INGRESOS VARIOS/OTROS</t>
  </si>
  <si>
    <t>TOTAL RECURSOS PROPIOS ORGANISMOS DESCENTRALIZADOS</t>
  </si>
  <si>
    <t>CONSOLIDADO MUNICIPAL</t>
  </si>
  <si>
    <t xml:space="preserve">    - DERECHOS  </t>
  </si>
  <si>
    <t xml:space="preserve">    - OTROS </t>
  </si>
  <si>
    <t>TOTAL RECURSOS PROPIOS ADMINISTRACION PUBLICA NO FINANCIERA</t>
  </si>
  <si>
    <r>
      <t xml:space="preserve">MUNICIPIO:  </t>
    </r>
    <r>
      <rPr>
        <b/>
        <sz val="12"/>
        <rFont val="Calibri"/>
        <family val="2"/>
      </rPr>
      <t xml:space="preserve">Municipalidad de Viale </t>
    </r>
  </si>
  <si>
    <t>Tasa Por Inspeccion Sanitaria, Higienep, Profolaxis y Seguridad</t>
  </si>
  <si>
    <t>Ventas</t>
  </si>
  <si>
    <r>
      <t>16,00 %</t>
    </r>
    <r>
      <rPr>
        <sz val="12"/>
        <color indexed="8"/>
        <rFont val="Garamond"/>
        <family val="1"/>
      </rPr>
      <t>o</t>
    </r>
  </si>
  <si>
    <r>
      <t>5,00 %</t>
    </r>
    <r>
      <rPr>
        <sz val="12"/>
        <color indexed="8"/>
        <rFont val="Garamond"/>
        <family val="1"/>
      </rPr>
      <t>o</t>
    </r>
  </si>
  <si>
    <t>40,00 %o</t>
  </si>
  <si>
    <t>ORDENANZA 2069/21</t>
  </si>
  <si>
    <t>Tasa general Inmobiliaria - Zona "A""</t>
  </si>
  <si>
    <t>mts 2</t>
  </si>
  <si>
    <r>
      <t xml:space="preserve">2,97397 </t>
    </r>
    <r>
      <rPr>
        <sz val="12"/>
        <color indexed="8"/>
        <rFont val="Symbol"/>
        <family val="1"/>
        <charset val="2"/>
      </rPr>
      <t>%</t>
    </r>
    <r>
      <rPr>
        <sz val="12"/>
        <color indexed="8"/>
        <rFont val="Garamond"/>
        <family val="1"/>
      </rPr>
      <t>o</t>
    </r>
  </si>
  <si>
    <t xml:space="preserve">Tasa general Inmobiliaria - Zona "A"  Baldios </t>
  </si>
  <si>
    <r>
      <t xml:space="preserve">2,97397 </t>
    </r>
    <r>
      <rPr>
        <sz val="12"/>
        <color indexed="8"/>
        <rFont val="Symbol"/>
        <family val="1"/>
        <charset val="2"/>
      </rPr>
      <t>%</t>
    </r>
    <r>
      <rPr>
        <sz val="12"/>
        <color indexed="8"/>
        <rFont val="Garamond"/>
        <family val="1"/>
      </rPr>
      <t>o +1700%</t>
    </r>
  </si>
  <si>
    <t>Tasa general Inmobiliaria - Zona "B"</t>
  </si>
  <si>
    <t>2,69074 %o</t>
  </si>
  <si>
    <t>Tasa general Inmobiliaria - Zona "B" Baldios</t>
  </si>
  <si>
    <t>2,69074 %o +1400%</t>
  </si>
  <si>
    <t>Tasa general Inmobiliaria - Zona "C"</t>
  </si>
  <si>
    <r>
      <t xml:space="preserve">2,18091 </t>
    </r>
    <r>
      <rPr>
        <sz val="12"/>
        <color indexed="8"/>
        <rFont val="Symbol"/>
        <family val="1"/>
        <charset val="2"/>
      </rPr>
      <t>%o</t>
    </r>
  </si>
  <si>
    <t xml:space="preserve">Tasa general Inmobiliaria - Zona "C" - Baldios </t>
  </si>
  <si>
    <r>
      <t xml:space="preserve">2,18091 </t>
    </r>
    <r>
      <rPr>
        <sz val="12"/>
        <color indexed="8"/>
        <rFont val="Symbol"/>
        <family val="1"/>
        <charset val="2"/>
      </rPr>
      <t>%o + 1200%</t>
    </r>
  </si>
  <si>
    <t>Tasa por limpieza, varrido de veredas y uso de agua (cementerio)</t>
  </si>
  <si>
    <t>suma fija</t>
  </si>
  <si>
    <t>Tasa por servicios especiales</t>
  </si>
  <si>
    <t>Suma Fija</t>
  </si>
  <si>
    <t xml:space="preserve">Obras sanitarias municipal </t>
  </si>
  <si>
    <t>Obras sanitarias municipal</t>
  </si>
  <si>
    <t>m3</t>
  </si>
  <si>
    <t>29 $/m3</t>
  </si>
  <si>
    <t>70 $/m3</t>
  </si>
  <si>
    <t>Obras sanitarias municipal conexion</t>
  </si>
  <si>
    <t>costo + 10% gto Adm</t>
  </si>
  <si>
    <t>Obras sanitarias municipal reconexion</t>
  </si>
  <si>
    <t>Contribucion por mejoras</t>
  </si>
  <si>
    <t>a convenir</t>
  </si>
  <si>
    <t>s/liquidacion Adm.</t>
  </si>
  <si>
    <t>Circulo Cerrado Viviendas</t>
  </si>
  <si>
    <t xml:space="preserve">mensual </t>
  </si>
  <si>
    <t>Según Convenio</t>
  </si>
  <si>
    <t>ORDENANZA 1653/16</t>
  </si>
  <si>
    <t>Derecho de Cementerio -Alquiler</t>
  </si>
  <si>
    <t>Derecho de Cementerio - Transferencia de Uso</t>
  </si>
  <si>
    <t>Pago Unico</t>
  </si>
  <si>
    <t xml:space="preserve">Autoconstruccion de viviendas </t>
  </si>
  <si>
    <t>ORDENANZA 1655/16</t>
  </si>
  <si>
    <t>Niveles y mensuras</t>
  </si>
  <si>
    <t>Actuaciones Administrativa</t>
  </si>
  <si>
    <t>Fondo Mi terreno Propio</t>
  </si>
  <si>
    <t>ORDENANZA 1090/09</t>
  </si>
  <si>
    <t>Derecho de edificacion</t>
  </si>
  <si>
    <r>
      <t>3%</t>
    </r>
    <r>
      <rPr>
        <sz val="7"/>
        <color indexed="8"/>
        <rFont val="Calibri"/>
        <family val="2"/>
      </rPr>
      <t>0</t>
    </r>
  </si>
  <si>
    <r>
      <t>4%</t>
    </r>
    <r>
      <rPr>
        <sz val="7"/>
        <color indexed="8"/>
        <rFont val="Calibri"/>
        <family val="2"/>
      </rPr>
      <t>0</t>
    </r>
  </si>
  <si>
    <t>Programa Viviendas Nuevas</t>
  </si>
  <si>
    <t>ORDENANZA 1334/12</t>
  </si>
  <si>
    <t>por m2</t>
  </si>
  <si>
    <t>por hora</t>
  </si>
  <si>
    <t>Utilizacion de locales destinados a uso Público</t>
  </si>
  <si>
    <t>Regimen de sanciones</t>
  </si>
  <si>
    <t>Segun determinacion del Juez de Faltas</t>
  </si>
  <si>
    <t>Cod. Faltas 773/04</t>
  </si>
  <si>
    <t>Inseccion periodica de instalaciones, medidores electricos y reposicion de lamparas</t>
  </si>
  <si>
    <t>sobre lo facturado</t>
  </si>
  <si>
    <t>Canon de productos fabricados por el municipio</t>
  </si>
  <si>
    <t>Unidades cemento</t>
  </si>
  <si>
    <t>Carnet de conducir</t>
  </si>
  <si>
    <t>Carnet sanitario</t>
  </si>
  <si>
    <t>Cada 4 años</t>
  </si>
  <si>
    <t xml:space="preserve">Habilitacion taxis y remis </t>
  </si>
  <si>
    <t>Visacion carnet sanitario</t>
  </si>
  <si>
    <t>Inspeccion Bromatologica</t>
  </si>
  <si>
    <t>Total Recaudacion</t>
  </si>
  <si>
    <t>PERÍODO: 30/06/2022</t>
  </si>
  <si>
    <r>
      <t>RECURSOS PROPIOS DEL MUNICIPIO:</t>
    </r>
    <r>
      <rPr>
        <b/>
        <sz val="11"/>
        <rFont val="Calibri"/>
        <family val="2"/>
      </rPr>
      <t xml:space="preserve"> </t>
    </r>
    <r>
      <rPr>
        <b/>
        <sz val="12"/>
        <rFont val="Calibri"/>
        <family val="2"/>
      </rPr>
      <t>VILLA CLARA</t>
    </r>
  </si>
  <si>
    <t xml:space="preserve">Ord. Anual Imp.    Nº 028/21 </t>
  </si>
  <si>
    <t>TASA POR INSPECCION SANITARIA, HIGIENE, PROFILAXIS Y SEGURIDAD</t>
  </si>
  <si>
    <t>Importe de vtas</t>
  </si>
  <si>
    <t xml:space="preserve">     INSPECCION DE PESAS Y MEDIDAS</t>
  </si>
  <si>
    <t>Por Balanza</t>
  </si>
  <si>
    <t>Avaluo Propiedad</t>
  </si>
  <si>
    <t>INSPECCION PERIODICA DE INSTALACIONES Y MEDIDORES ELECTRICOS, Y REPOSICIÓN DE LAMPARAS</t>
  </si>
  <si>
    <t>Por precio basico Kw</t>
  </si>
  <si>
    <t>INSPECCION DE ANTENAS Y SUS ESTRUCTURAS</t>
  </si>
  <si>
    <t>Estructuras portantes</t>
  </si>
  <si>
    <t>OCUPACION DE LA VÍA PÚBLICA</t>
  </si>
  <si>
    <t>Mts./Postes              Mesas/Sillas</t>
  </si>
  <si>
    <t>Contribución de Mejoras</t>
  </si>
  <si>
    <t>Costo de Obra</t>
  </si>
  <si>
    <t>Por Obra</t>
  </si>
  <si>
    <t>Por Solicitud</t>
  </si>
  <si>
    <t>Por tramite</t>
  </si>
  <si>
    <t>Por Vendedor</t>
  </si>
  <si>
    <t>VENDEDORES TRANSITORIOS</t>
  </si>
  <si>
    <t>Por vendedor</t>
  </si>
  <si>
    <t>Alquileres percibidos</t>
  </si>
  <si>
    <t>Contrato</t>
  </si>
  <si>
    <t>Por tanque</t>
  </si>
  <si>
    <t>Por servicio</t>
  </si>
  <si>
    <t>USO DE EQUIPOS E INSTALACIONES</t>
  </si>
  <si>
    <t>Hora Trabajo</t>
  </si>
  <si>
    <t>Codigo de Faltas</t>
  </si>
  <si>
    <t>Multas varias</t>
  </si>
  <si>
    <t>UF</t>
  </si>
  <si>
    <t>INTERESES PERCIBIDOS</t>
  </si>
  <si>
    <t>Importe Dep. P/F</t>
  </si>
  <si>
    <t>ENTRADA EXTRAORDINARIA</t>
  </si>
  <si>
    <t>Varios</t>
  </si>
  <si>
    <t>FONDO MUNICIPAL DE PROMOCION DE LA COMUNIDAD Y TURISMO</t>
  </si>
  <si>
    <t>Por Tramite</t>
  </si>
  <si>
    <t>RECARGO E INTERESES</t>
  </si>
  <si>
    <t>Importe Pagado</t>
  </si>
  <si>
    <t>Por Mts 2</t>
  </si>
  <si>
    <t>TOTAL PRES.</t>
  </si>
  <si>
    <t xml:space="preserve">                                                                                              </t>
  </si>
  <si>
    <r>
      <rPr>
        <b/>
        <sz val="9"/>
        <rFont val="Calibri"/>
        <family val="2"/>
      </rPr>
      <t>(2.8) PERÍODO: con el presupuesto anual, al 30 de Junio y al 31 de diciembre</t>
    </r>
  </si>
  <si>
    <t>RECURSOS PROPIOS "EJECUTADOS"  al 30/06/2022-</t>
  </si>
  <si>
    <t>C.T.M. 2021</t>
  </si>
  <si>
    <t>ORDENANZA MPAL. 247/2021.-</t>
  </si>
  <si>
    <t>MUNICIPALIDAD DE VILLA DEL ROSARIO</t>
  </si>
  <si>
    <t>TRATADO DEL PILAR 334 - VILLA DEL ROSARIO (3229)</t>
  </si>
  <si>
    <t>C.U.I.T.: 33-67086519-9</t>
  </si>
  <si>
    <t>ALÍCUOTA GRAL</t>
  </si>
  <si>
    <t xml:space="preserve"> Tasa de Higiene y Seguridad</t>
  </si>
  <si>
    <t>FACTURACION, MIN. Y C.  FIJAS</t>
  </si>
  <si>
    <t xml:space="preserve">CTM 2022 - TIT II - </t>
  </si>
  <si>
    <t xml:space="preserve"> Contribución p/Venta Energía Eléctrica</t>
  </si>
  <si>
    <t>DEC. PCIAL. 1413/96</t>
  </si>
  <si>
    <t xml:space="preserve"> Tasa General Inmobiliaria</t>
  </si>
  <si>
    <t>MTS. LINEAL P/ZONAS</t>
  </si>
  <si>
    <t xml:space="preserve">CTM 2022 - TIT I - </t>
  </si>
  <si>
    <t xml:space="preserve"> Tasa Mantenimiento Alumbrado Público</t>
  </si>
  <si>
    <t>CONS. FIJO + VARIABLE</t>
  </si>
  <si>
    <t>ORD. 168/18 - CTM 2022</t>
  </si>
  <si>
    <t xml:space="preserve">  Fondo Comunal</t>
  </si>
  <si>
    <t>S/TASAS Y DCHOS MUNIC.</t>
  </si>
  <si>
    <t>CTM 2022-TIT XV-</t>
  </si>
  <si>
    <t xml:space="preserve"> Registro de Conducir</t>
  </si>
  <si>
    <t>IMP. FIJO P/TRAMITE</t>
  </si>
  <si>
    <t>CTM 2022 - TIT XIII-Ord. 221/2020 HCDVR</t>
  </si>
  <si>
    <t xml:space="preserve"> Cementerio</t>
  </si>
  <si>
    <t>IMP. FIJO S/UBICACIÓN</t>
  </si>
  <si>
    <t>CTM 2022 - TIT IV - CAP IV</t>
  </si>
  <si>
    <t xml:space="preserve"> Registros en Catastro</t>
  </si>
  <si>
    <t>CTM 2022- TIT XII</t>
  </si>
  <si>
    <t xml:space="preserve"> Recargos</t>
  </si>
  <si>
    <t>CAPITAL ADEUDADO</t>
  </si>
  <si>
    <t xml:space="preserve"> CTM -Pte Gral. C VII</t>
  </si>
  <si>
    <t xml:space="preserve"> Salud Pública Municipal</t>
  </si>
  <si>
    <t>IMPORTE FIJO</t>
  </si>
  <si>
    <t>3 AÑOS</t>
  </si>
  <si>
    <t>CTM 2022 - TIT III</t>
  </si>
  <si>
    <t xml:space="preserve">   </t>
  </si>
  <si>
    <t xml:space="preserve">  Contribución por Mejoras</t>
  </si>
  <si>
    <t>MONTO DE OBRA</t>
  </si>
  <si>
    <t>CTM 2022 - TIT XI</t>
  </si>
  <si>
    <t xml:space="preserve"> Derecho de Conexión a Red Cloacal</t>
  </si>
  <si>
    <t>CONEXIÓN DCILIARIA</t>
  </si>
  <si>
    <t>CTM 2022 - TIT X - CAP II</t>
  </si>
  <si>
    <t xml:space="preserve"> Derecho de Inspección Pilar Eléctrico</t>
  </si>
  <si>
    <t>INSPECCION/INSTALACION</t>
  </si>
  <si>
    <t>CTM 2022 - TIT X - CAP I</t>
  </si>
  <si>
    <t xml:space="preserve"> Reembolso de Préstamos</t>
  </si>
  <si>
    <t>CUOTAS P/CONVENIO</t>
  </si>
  <si>
    <t>CONVENIOS INDIVIDUALES</t>
  </si>
  <si>
    <t xml:space="preserve"> Multas - Cód. de Faltas</t>
  </si>
  <si>
    <t>ORD. 74/15 COD. DE FALTAS Y CTM 2022, Cap. VIII</t>
  </si>
  <si>
    <t>Y CTM PTE GRAL.ART 32</t>
  </si>
  <si>
    <t>CAP. VIII</t>
  </si>
  <si>
    <t xml:space="preserve"> Convenio Coop. Elect. Chajarí Ltda</t>
  </si>
  <si>
    <t>CTM 2022 - TIT VII</t>
  </si>
  <si>
    <t xml:space="preserve"> Convenio Radiodifusora Chajarí S.R.L.</t>
  </si>
  <si>
    <t xml:space="preserve"> Convenio BERSA</t>
  </si>
  <si>
    <t>Nº TIKETS cobrados</t>
  </si>
  <si>
    <t>CONV. PARTICULAR</t>
  </si>
  <si>
    <t xml:space="preserve"> Convenio Correo Argentino</t>
  </si>
  <si>
    <t xml:space="preserve"> Convenio DGR</t>
  </si>
  <si>
    <t xml:space="preserve"> Convenio UCASAL</t>
  </si>
  <si>
    <t xml:space="preserve"> Rdo. De Ejercicio Anterior</t>
  </si>
  <si>
    <t xml:space="preserve"> Rdo. De Operaciones Bancarias</t>
  </si>
  <si>
    <t>PLAZO FIJO</t>
  </si>
  <si>
    <t xml:space="preserve"> Venta de Activo Fijo</t>
  </si>
  <si>
    <t xml:space="preserve"> Publicidad Radio Municipal</t>
  </si>
  <si>
    <t>Ord. 246/2021</t>
  </si>
  <si>
    <t xml:space="preserve"> Otros Ingresos (Planta de Tratamiento) </t>
  </si>
  <si>
    <t xml:space="preserve"> Otros Ing. De Capital (Area Industrial)</t>
  </si>
  <si>
    <t>MUNICIPIO:  VILLA DOMINGUEZ</t>
  </si>
  <si>
    <t>Valuacion fiscal municipal</t>
  </si>
  <si>
    <t>4,35%0</t>
  </si>
  <si>
    <t>18,27%0</t>
  </si>
  <si>
    <t>Codigo Tributario Municipal - Tit.I Ord. Impositiva</t>
  </si>
  <si>
    <t>Tasa por Alumbrado Publico</t>
  </si>
  <si>
    <t>Codigo tributario Municipal</t>
  </si>
  <si>
    <t>Tasa por Servicios Sanitarios (Sellado por servicio Red Cloacal)</t>
  </si>
  <si>
    <t>Trimestral</t>
  </si>
  <si>
    <t>Codigo Tributario Municipal - Tit. IV Cap. II Ord. Impositiva</t>
  </si>
  <si>
    <t>Tasa Inspeccion Sanitaria Profilaxis y Seguridad</t>
  </si>
  <si>
    <t>Ingresos brutos devengados</t>
  </si>
  <si>
    <t>15%0</t>
  </si>
  <si>
    <t>9%0</t>
  </si>
  <si>
    <t>60%0</t>
  </si>
  <si>
    <t>Codigo Tributario Municipal - Tit.II Ord. Impositiva</t>
  </si>
  <si>
    <t>Verificacion Estructura Antena de Comunicaciones</t>
  </si>
  <si>
    <t>Ord. Nº 13/2021</t>
  </si>
  <si>
    <t>FO.MU.CO</t>
  </si>
  <si>
    <t>Sellado Municipal</t>
  </si>
  <si>
    <t>Codigo Tributario Municipal - Tit. XIV Ord. Impositiva</t>
  </si>
  <si>
    <t>Codigo Tributario Municipal - Tit. XIII Ord. Impositiva</t>
  </si>
  <si>
    <t>Codigo Tributario Municipal - Tit. IV Cap I y II Ord. Impositiva</t>
  </si>
  <si>
    <t>Codigo Tributario Municipal - Tit. IV Cap III Ord. Impositiva</t>
  </si>
  <si>
    <t>Sellados Varios</t>
  </si>
  <si>
    <t>Codigo Tributario Municipal</t>
  </si>
  <si>
    <r>
      <t xml:space="preserve">MUNICIPIO: </t>
    </r>
    <r>
      <rPr>
        <b/>
        <sz val="11"/>
        <rFont val="Calibri"/>
        <family val="2"/>
      </rPr>
      <t>VILLA ELISA</t>
    </r>
  </si>
  <si>
    <r>
      <t>(2.8)</t>
    </r>
    <r>
      <rPr>
        <b/>
        <sz val="11"/>
        <rFont val="Calibri"/>
        <family val="2"/>
      </rPr>
      <t xml:space="preserve"> PERÍODO: 1º Semestre 2022</t>
    </r>
  </si>
  <si>
    <t xml:space="preserve">RECAUDACIÓN </t>
  </si>
  <si>
    <r>
      <t>Tasa General Inmobiliaria (*</t>
    </r>
    <r>
      <rPr>
        <sz val="8"/>
        <color indexed="8"/>
        <rFont val="Calibri"/>
        <family val="2"/>
        <charset val="1"/>
      </rPr>
      <t>1</t>
    </r>
    <r>
      <rPr>
        <sz val="10"/>
        <color indexed="8"/>
        <rFont val="Calibri"/>
        <family val="2"/>
        <charset val="1"/>
      </rPr>
      <t>)</t>
    </r>
  </si>
  <si>
    <t xml:space="preserve">Valuación fiscal </t>
  </si>
  <si>
    <t>Bimestral/Anual</t>
  </si>
  <si>
    <t>O.1558art.1(PE)-O.1557art.2</t>
  </si>
  <si>
    <t>Ingr. Brutos S/DJ</t>
  </si>
  <si>
    <t>O.1558art.7(PE)-O.1557art.3</t>
  </si>
  <si>
    <r>
      <t>Tasa por Servicios Sanitarios (*</t>
    </r>
    <r>
      <rPr>
        <sz val="8"/>
        <color indexed="8"/>
        <rFont val="Calibri"/>
        <family val="2"/>
        <charset val="1"/>
      </rPr>
      <t>2</t>
    </r>
    <r>
      <rPr>
        <sz val="10"/>
        <color indexed="8"/>
        <rFont val="Calibri"/>
        <family val="2"/>
        <charset val="1"/>
      </rPr>
      <t>)</t>
    </r>
  </si>
  <si>
    <t>Disponib.Servicio</t>
  </si>
  <si>
    <t>O.1558art.85(PE)-O.1557art.10</t>
  </si>
  <si>
    <t>Inspección periódica de instalaciones y medidores eléctricos y reposición de lámparas</t>
  </si>
  <si>
    <t>Kw consumido</t>
  </si>
  <si>
    <t>O.1558art.62(PE)-O.1557art.18</t>
  </si>
  <si>
    <t>Deudores p/tasas atrasadas-Financiaciones</t>
  </si>
  <si>
    <t>S/Deuda</t>
  </si>
  <si>
    <t>Ord.1558 art.48 (Parte Gral.)</t>
  </si>
  <si>
    <t>Tasa por Inspección de Antenas</t>
  </si>
  <si>
    <t>Ordenanza 2001 art.2</t>
  </si>
  <si>
    <t>Ord.1558art.53(PE)-O.1557art.15</t>
  </si>
  <si>
    <t>Contribución por mejoras</t>
  </si>
  <si>
    <t>Metro Lineal o M2</t>
  </si>
  <si>
    <t xml:space="preserve">O.1558art.70(PE)-O.1557art.20 </t>
  </si>
  <si>
    <t>O.1558art.78(PE)-O.1557art.23</t>
  </si>
  <si>
    <t>O.1558art.45(PE)-O.1557Tit.XVI</t>
  </si>
  <si>
    <t>Tasación obras</t>
  </si>
  <si>
    <t>O1558art.71(PE)-O.1557art.21</t>
  </si>
  <si>
    <t>Ord.1558 art.42 (PE)</t>
  </si>
  <si>
    <t>O1558art22(PE)-O1557art.4 a 12</t>
  </si>
  <si>
    <t>O.1558art.47(PE)-O.1557art.14</t>
  </si>
  <si>
    <t>Derecho Espectáculos, Juegos, Rifas</t>
  </si>
  <si>
    <t>O.1558art.55(PE)-O.1557art.16</t>
  </si>
  <si>
    <t>O.1558art.60(PE)-O.1557art.17</t>
  </si>
  <si>
    <t>Recargos por mora</t>
  </si>
  <si>
    <t>S/Tasa</t>
  </si>
  <si>
    <t>Tasa Activa Bco. Nación</t>
  </si>
  <si>
    <t>O.1558art.25(PGral) – O.1557art.27- Modif.O.1943</t>
  </si>
  <si>
    <t>Ord.1558 art.27 (Parte Gral.)</t>
  </si>
  <si>
    <t>Multas de Tránsito</t>
  </si>
  <si>
    <t>P/Infracción</t>
  </si>
  <si>
    <t>10 Un. Fijas</t>
  </si>
  <si>
    <t>300 Un. Fijas</t>
  </si>
  <si>
    <t>Ord.935 art.40</t>
  </si>
  <si>
    <r>
      <t>Concesión Blaneario Municipal (*</t>
    </r>
    <r>
      <rPr>
        <sz val="8"/>
        <color indexed="8"/>
        <rFont val="Calibri"/>
        <family val="2"/>
        <charset val="1"/>
      </rPr>
      <t>3</t>
    </r>
    <r>
      <rPr>
        <sz val="10"/>
        <color indexed="8"/>
        <rFont val="Calibri"/>
        <family val="2"/>
        <charset val="1"/>
      </rPr>
      <t>)</t>
    </r>
  </si>
  <si>
    <t xml:space="preserve">51,54 Lts. Nafta </t>
  </si>
  <si>
    <t>1546,39 Lts. Nafta</t>
  </si>
  <si>
    <t>Lic. Publica N°07/21-Dec.593/21</t>
  </si>
  <si>
    <t xml:space="preserve">Concesión Tienda de Conveniencia Terminal </t>
  </si>
  <si>
    <t>Equiv.$/130 lts.nafta super</t>
  </si>
  <si>
    <t>Lic. Publica N°06/19-Dec.594/19</t>
  </si>
  <si>
    <t>Aportes y Contribuciones (Caja Municipal de Jubilaciones)</t>
  </si>
  <si>
    <t>Remuneraciones</t>
  </si>
  <si>
    <t>O.864 art.5 Modif.Ord.1878</t>
  </si>
  <si>
    <t>Colocaciones financieras</t>
  </si>
  <si>
    <t>Monto depositado</t>
  </si>
  <si>
    <t>Fondo Municipal de Promoción de la comunidad y turismo</t>
  </si>
  <si>
    <t>S/Tasas</t>
  </si>
  <si>
    <t>O.1558art.80(PE)-O.1557art.24</t>
  </si>
  <si>
    <t>Intereses (Caja Municipal de Jubilaciones)</t>
  </si>
  <si>
    <t>Monto invertido</t>
  </si>
  <si>
    <t>Ordenanza 864 art.4</t>
  </si>
  <si>
    <t>Aportes y Contrib. Solidarios Personal Activo y Pasivo (Caja Municipal de Jubilaciones) (*4)</t>
  </si>
  <si>
    <t>Ord.2073</t>
  </si>
  <si>
    <t>Fondo Becario Municipal</t>
  </si>
  <si>
    <t>Tasa fija</t>
  </si>
  <si>
    <t>Ord.1820 art.1</t>
  </si>
  <si>
    <t>Donaciones e Ingresos Varios (Caja Municipal de Jubilaciones)</t>
  </si>
  <si>
    <t>Recursos varios</t>
  </si>
  <si>
    <t>Ord.1557 art.13</t>
  </si>
  <si>
    <t>Devoluciones</t>
  </si>
  <si>
    <t>Trabajo por cuenta de particulares</t>
  </si>
  <si>
    <t>O.1558art.82(PE)-O.1557art.26</t>
  </si>
  <si>
    <t xml:space="preserve">Donaciones Funcionarios </t>
  </si>
  <si>
    <t>Recuperos (gastos judic.-seguros)</t>
  </si>
  <si>
    <t>Convenio Caja de Jubilaciones</t>
  </si>
  <si>
    <t>TOTAL RECAUDACIÓN</t>
  </si>
  <si>
    <r>
      <t>(*</t>
    </r>
    <r>
      <rPr>
        <sz val="9"/>
        <color indexed="8"/>
        <rFont val="Calibri"/>
        <family val="2"/>
      </rPr>
      <t>1</t>
    </r>
    <r>
      <rPr>
        <sz val="11"/>
        <color theme="1"/>
        <rFont val="Calibri"/>
        <family val="2"/>
        <scheme val="minor"/>
      </rPr>
      <t>) Tasa General Inmobiliaria: Se aplican valores fijos por Zona cuando del cálculo de la Tasa resulten importes inferiores al mínimo. Los mínimos por Zona son: Zona A (Planta Urbana): $2220,00/Zona B (Sección Quintas): $1800,00/Zona C (Colonia): $2000,00.-</t>
    </r>
  </si>
  <si>
    <r>
      <t>(*</t>
    </r>
    <r>
      <rPr>
        <sz val="9"/>
        <color indexed="8"/>
        <rFont val="Calibri"/>
        <family val="2"/>
      </rPr>
      <t>2</t>
    </r>
    <r>
      <rPr>
        <sz val="11"/>
        <color theme="1"/>
        <rFont val="Calibri"/>
        <family val="2"/>
        <scheme val="minor"/>
      </rPr>
      <t>) Tasa por Servicios Sanitarios: se cobran importes mínimos, según la disponibilidad de servicios. Agua Edificado: $1150,00/Cloaca Edificado: $610,00/Agua y Cloaca Edificado: $1760,00/Agua Baldío: $460,0/Cloaca Baldío: $260,00/Agua y Cloaca Baldío: $720,00.-</t>
    </r>
  </si>
  <si>
    <r>
      <t>(*</t>
    </r>
    <r>
      <rPr>
        <sz val="9"/>
        <color indexed="8"/>
        <rFont val="Calibri"/>
        <family val="2"/>
      </rPr>
      <t>3</t>
    </r>
    <r>
      <rPr>
        <sz val="11"/>
        <color theme="1"/>
        <rFont val="Calibri"/>
        <family val="2"/>
        <scheme val="minor"/>
      </rPr>
      <t>)Temporada alta Noviembre-Abril: 1546,39 Lts. Nafta y Temporada baja Mayo-Oct.: 51,54 Lts. Nafta por c/día de apertura.</t>
    </r>
  </si>
  <si>
    <r>
      <t>(*</t>
    </r>
    <r>
      <rPr>
        <sz val="9"/>
        <color indexed="8"/>
        <rFont val="Calibri"/>
        <family val="2"/>
      </rPr>
      <t>4</t>
    </r>
    <r>
      <rPr>
        <sz val="11"/>
        <color theme="1"/>
        <rFont val="Calibri"/>
        <family val="2"/>
        <scheme val="minor"/>
      </rPr>
      <t>)Aporte Solidario Caja Municipal de Jubilaciones: Personal Activo: 1% / Pasivos categorias 1º a 5º: 4%; categorias 6º a 10º: 2%</t>
    </r>
  </si>
  <si>
    <r>
      <rPr>
        <b/>
        <sz val="12"/>
        <rFont val="Calibri"/>
        <family val="2"/>
      </rPr>
      <t>(2.8)</t>
    </r>
    <r>
      <rPr>
        <b/>
        <sz val="11"/>
        <rFont val="Calibri"/>
        <family val="2"/>
      </rPr>
      <t xml:space="preserve"> PERÍODO: EJECUCION 30/06/2022</t>
    </r>
  </si>
  <si>
    <t>RECURSOS PROPIOS DEL MUNICIPIO: VILLA HERNANDARIAS</t>
  </si>
  <si>
    <t>Tasa por Inspeccion, Higiene, Profilaxis y Seguridad</t>
  </si>
  <si>
    <t>facturacion</t>
  </si>
  <si>
    <t>113/14         0544/21</t>
  </si>
  <si>
    <t>Inspeccion Instalaciones Electromecanica</t>
  </si>
  <si>
    <t>Hp</t>
  </si>
  <si>
    <t>Contribucion Energia Electrica</t>
  </si>
  <si>
    <t>kw</t>
  </si>
  <si>
    <t>Contribucion de Mejoras</t>
  </si>
  <si>
    <t>UH</t>
  </si>
  <si>
    <t>xx</t>
  </si>
  <si>
    <t>Ocupacion de la Via Publica</t>
  </si>
  <si>
    <t>Intalaciones Turisticas</t>
  </si>
  <si>
    <t>Instalaciones y Equipos</t>
  </si>
  <si>
    <t>6 lts</t>
  </si>
  <si>
    <t>60 lts</t>
  </si>
  <si>
    <t>Salud Publica Municipal</t>
  </si>
  <si>
    <t>Uso  Minibus</t>
  </si>
  <si>
    <t>10 lts</t>
  </si>
  <si>
    <t>1000 lts</t>
  </si>
  <si>
    <t>Recargo por Mora y Financiacion</t>
  </si>
  <si>
    <t>Multa del Codigo de Falta</t>
  </si>
  <si>
    <t>Litro de Nafta Mayor Octanaje</t>
  </si>
  <si>
    <t>Multa y Contravenciones</t>
  </si>
  <si>
    <t>25 lts</t>
  </si>
  <si>
    <t>500 lts</t>
  </si>
  <si>
    <t>Canon de Instalacion Turistica</t>
  </si>
  <si>
    <t>Otras</t>
  </si>
  <si>
    <t>Convenio Receptoria Sidecreer</t>
  </si>
  <si>
    <t>Resultado por Inversiones Financieras</t>
  </si>
  <si>
    <t>Convenios de Pagos</t>
  </si>
  <si>
    <t>Arancel Convenio ICAB</t>
  </si>
  <si>
    <r>
      <t xml:space="preserve">MUNICIPIO:  </t>
    </r>
    <r>
      <rPr>
        <b/>
        <sz val="12"/>
        <rFont val="Calibri"/>
        <family val="2"/>
      </rPr>
      <t>VILLA MANTERO</t>
    </r>
  </si>
  <si>
    <t>mt. Lineal (valor por zona)</t>
  </si>
  <si>
    <t>Impositiva 2022 Ordenanza 50/21</t>
  </si>
  <si>
    <t xml:space="preserve">CEMENTERIO  </t>
  </si>
  <si>
    <t>mt. Cuadrado</t>
  </si>
  <si>
    <t>trimestral</t>
  </si>
  <si>
    <t>$106,4 mt. Cuadrado</t>
  </si>
  <si>
    <t>INSPECCIÓN SANITARIA, HIGIENE PROFILALAXIS Y SEGURIDAD</t>
  </si>
  <si>
    <t>Ingresos mensuales act. Comercial</t>
  </si>
  <si>
    <t>por c/ solicitud</t>
  </si>
  <si>
    <t>INSPECCION PERIÓDICA DE INSTALACIONES Y MEDIDORES ELÉCTRICOS Y REPOSICIÓN DE LAMPARAS</t>
  </si>
  <si>
    <t>Ingresos generados por la venta de Energía Eléctrica</t>
  </si>
  <si>
    <t>15% consumo residencial</t>
  </si>
  <si>
    <t>16% consumo industrial</t>
  </si>
  <si>
    <t>CONTRIBUCION DISTRIBUIDORA ELECTRICIDAD</t>
  </si>
  <si>
    <t xml:space="preserve">TASA POR INSPECCION DE ANTENAS DE COMUNICACIÓN Y SUS ESTRUCTURAS PORTANTES </t>
  </si>
  <si>
    <t>por c/ estructura portante</t>
  </si>
  <si>
    <t xml:space="preserve">anual </t>
  </si>
  <si>
    <t>$ 190.000 por c/ estructura portante</t>
  </si>
  <si>
    <t>INSPECCIÓN VETERINARIA DE VEHÍCULOS QUE TRANSPORTEN PROVISIONES, PRODUCTOS ALIMENTICIOS, BEBIDAS O SIMILARES</t>
  </si>
  <si>
    <t>por la introducción de c /animal</t>
  </si>
  <si>
    <t>1/2 KG PULPA ESPECIAL</t>
  </si>
  <si>
    <t>valor anual</t>
  </si>
  <si>
    <t xml:space="preserve">RECARGO POR MORA </t>
  </si>
  <si>
    <t>por c/pago atrasado</t>
  </si>
  <si>
    <t>% por día</t>
  </si>
  <si>
    <t>DEUDORES POR TASAS ATRASADAS</t>
  </si>
  <si>
    <t>DERECHO DE OFICINA Y SELLADOS</t>
  </si>
  <si>
    <t>por trámite solicitado</t>
  </si>
  <si>
    <t>REGISTRO DE TITULOS</t>
  </si>
  <si>
    <t>valor de la propiedad</t>
  </si>
  <si>
    <t>por viaje del atmósferico de hasta 5000 lts</t>
  </si>
  <si>
    <t>s/ la falta cometida</t>
  </si>
  <si>
    <t>por c/ falta</t>
  </si>
  <si>
    <t>litros de nafta según la falta</t>
  </si>
  <si>
    <t>Otros Ingresos</t>
  </si>
  <si>
    <t>INTERESES GANADOS</t>
  </si>
  <si>
    <t>Intereses Plazos Fijos</t>
  </si>
  <si>
    <t>al vencimiento del plazo fijo</t>
  </si>
  <si>
    <t xml:space="preserve">PLAN VIVIENDAS PROMHIB   </t>
  </si>
  <si>
    <t>Recupero Plan de Ayuda viviendas Municipales</t>
  </si>
  <si>
    <t>Cuota Mensual</t>
  </si>
  <si>
    <t>Convenios de Pago</t>
  </si>
  <si>
    <t>MUNICIPIO:  MUNICIPALIDAD DE VILLA PARANACITO</t>
  </si>
  <si>
    <t>DREI</t>
  </si>
  <si>
    <t>DECLARATIVA</t>
  </si>
  <si>
    <t>ORD. IMPOSITIVA</t>
  </si>
  <si>
    <t>TASA INMOBOLIARIA</t>
  </si>
  <si>
    <t>EXTRACION DE MINERALES</t>
  </si>
  <si>
    <t>7,5 XMT3</t>
  </si>
  <si>
    <t>EDIFICACION</t>
  </si>
  <si>
    <t>ABASTO E INSPECCION VETERINARIA</t>
  </si>
  <si>
    <t>INGRESOS POR MULTA</t>
  </si>
  <si>
    <t>APORTE. EMP. ENERGIA</t>
  </si>
  <si>
    <t>INGRESO ALUMBRADO PUBLICO</t>
  </si>
  <si>
    <t>ACT. ADMINISTRATIVA</t>
  </si>
  <si>
    <t>MUNICIPIO: VILLAGUAY</t>
  </si>
  <si>
    <r>
      <rPr>
        <b/>
        <sz val="12"/>
        <rFont val="Calibri"/>
        <family val="2"/>
      </rPr>
      <t xml:space="preserve">(2.8) PERÍODO: </t>
    </r>
    <r>
      <rPr>
        <b/>
        <sz val="12"/>
        <color indexed="8"/>
        <rFont val="Calibri"/>
        <family val="2"/>
      </rPr>
      <t xml:space="preserve"> Ejecutado al 30/06/</t>
    </r>
    <r>
      <rPr>
        <b/>
        <sz val="12"/>
        <color indexed="10"/>
        <rFont val="Calibri"/>
        <family val="2"/>
      </rPr>
      <t>2022__</t>
    </r>
  </si>
  <si>
    <t>Tasa Inspeccion San.Hig.y Seguridad</t>
  </si>
  <si>
    <t>Ord.1620-Art.7CT</t>
  </si>
  <si>
    <t>consumo Electrico</t>
  </si>
  <si>
    <t>Ley Provincial</t>
  </si>
  <si>
    <t>Tasa Fija</t>
  </si>
  <si>
    <t>Ord.1620-Art.39CT</t>
  </si>
  <si>
    <t>s/Avaluos</t>
  </si>
  <si>
    <t>Ord.1620-Art.1-CT</t>
  </si>
  <si>
    <t>Mejoras</t>
  </si>
  <si>
    <t>s/Obra</t>
  </si>
  <si>
    <t>Liquidaciones</t>
  </si>
  <si>
    <t>Valor m²</t>
  </si>
  <si>
    <t>s/servicios</t>
  </si>
  <si>
    <t>Edificacion Derechos de Construccion</t>
  </si>
  <si>
    <t>m2-del CAPER</t>
  </si>
  <si>
    <t>Cementerio y Servicios Funebres</t>
  </si>
  <si>
    <t>Ocupacion Via Publica</t>
  </si>
  <si>
    <t>Alquiler de Equipos  Inst. E Inmuebles</t>
  </si>
  <si>
    <t>s/contratos</t>
  </si>
  <si>
    <t>s/tablas</t>
  </si>
  <si>
    <t>U.F-a 30</t>
  </si>
  <si>
    <t>Fondos Municipales</t>
  </si>
  <si>
    <t>s/presentaciones</t>
  </si>
  <si>
    <t xml:space="preserve">    IV. Los recursos registrados son los efectivamente percibidos al 30/06/2022. En los casos de Municipios que enviaron planillas con detalle de recursos sin consignar recaudación, se sugirió no contemplar esos items, y realizar las modificaciones correspondientes, reenviando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</si>
</sst>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6" formatCode="&quot;$&quot;\ #,##0;[Red]&quot;$&quot;\ \-#,##0"/>
    <numFmt numFmtId="8" formatCode="&quot;$&quot;\ #,##0.00;[Red]&quot;$&quot;\ \-#,##0.00"/>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_-&quot;$&quot;\ * #,##0.00_-;\-&quot;$&quot;\ * #,##0.00_-;_-&quot;$&quot;\ * &quot;-&quot;??_-;_-@_-"/>
    <numFmt numFmtId="165" formatCode="_-* #,##0.00_-;\-* #,##0.00_-;_-* &quot;-&quot;??_-;_-@_-"/>
    <numFmt numFmtId="166" formatCode="d/mm/yyyy"/>
    <numFmt numFmtId="167" formatCode="_ &quot;$ &quot;* #,##0.00_ ;_ &quot;$ &quot;* \-#,##0.00_ ;_ &quot;$ &quot;* \-??_ ;_ @_ "/>
    <numFmt numFmtId="168" formatCode="0\ %"/>
    <numFmt numFmtId="169" formatCode="_-&quot;$&quot;* #,##0.00_-;\-&quot;$&quot;* #,##0.00_-;_-&quot;$&quot;* &quot;-&quot;??_-;_-@_-"/>
    <numFmt numFmtId="170" formatCode="_-* #,##0.00&quot; $&quot;_-;\-* #,##0.00&quot; $&quot;_-;_-* \-??&quot; $&quot;_-;_-@_-"/>
    <numFmt numFmtId="171" formatCode="_-&quot;XDR&quot;* #,##0.00_-;\-&quot;XDR&quot;* #,##0.00_-;_-&quot;XDR&quot;* &quot;-&quot;??_-;_-@_-"/>
    <numFmt numFmtId="172" formatCode="#,##0.00_ ;[Red]\-#,##0.00\ "/>
    <numFmt numFmtId="173" formatCode="0.0%"/>
    <numFmt numFmtId="174" formatCode="0.0000%"/>
    <numFmt numFmtId="175" formatCode="0.00000000"/>
    <numFmt numFmtId="176" formatCode="0.00_)"/>
    <numFmt numFmtId="177" formatCode="_ * #,##0_ ;_ * \-#,##0_ ;_ * &quot;-&quot;??_ ;_ @_ "/>
    <numFmt numFmtId="178" formatCode="[$$-2C0A]\ #,##0"/>
    <numFmt numFmtId="179" formatCode="0.00\ %"/>
    <numFmt numFmtId="180" formatCode="_ * #,##0.00_ ;_ * \-#,##0.00_ ;_ * \-??_ ;_ @_ "/>
    <numFmt numFmtId="181" formatCode="&quot;$&quot;\ #,##0;[Red]\-&quot;$&quot;\ #,##0"/>
    <numFmt numFmtId="182" formatCode="#,##0.00&quot; $&quot;"/>
    <numFmt numFmtId="183" formatCode="_-&quot;$ &quot;* #,##0.00_-;&quot;-$ &quot;* #,##0.00_-;_-&quot;$ &quot;* \-??_-;_-@_-"/>
    <numFmt numFmtId="184" formatCode="&quot;$&quot;\ #,##0"/>
    <numFmt numFmtId="185" formatCode="[$$-2C0A]\ #,##0.00"/>
    <numFmt numFmtId="186" formatCode="[$$-2C0A]\ #,##0.00;[Red][$$-2C0A]\ \-#,##0.00"/>
    <numFmt numFmtId="187" formatCode="&quot;$&quot;#,##0.00"/>
    <numFmt numFmtId="188" formatCode="&quot;$&quot;#,##0.00;[Red]\-&quot;$&quot;#,##0.00"/>
    <numFmt numFmtId="189" formatCode="0.000%"/>
    <numFmt numFmtId="190" formatCode="&quot;$&quot;#,##0.00;\-&quot;$&quot;#,##0.00"/>
    <numFmt numFmtId="191" formatCode="&quot;$&quot;#,##0;[Red]\-&quot;$&quot;#,##0"/>
    <numFmt numFmtId="192" formatCode="_ [$$-2C0A]\ * #,##0.00_ ;_ [$$-2C0A]\ * \-#,##0.00_ ;_ [$$-2C0A]\ * &quot;-&quot;??_ ;_ @_ "/>
    <numFmt numFmtId="193" formatCode="_(* #,##0.00_);_(* \(#,##0.00\);_(* &quot;-&quot;_);_(@_)"/>
    <numFmt numFmtId="194" formatCode="0.0000000%"/>
    <numFmt numFmtId="195" formatCode="&quot;$&quot;\ #,##0.00"/>
    <numFmt numFmtId="196" formatCode="&quot;$&quot;\ #,##0.00;[Red]\-&quot;$&quot;\ #,##0.00"/>
    <numFmt numFmtId="197" formatCode="\$#,##0.00;&quot;-$&quot;#,##0.00"/>
    <numFmt numFmtId="198" formatCode="_-[$$-2C0A]\ * #,##0.00_-;\-[$$-2C0A]\ * #,##0.00_-;_-[$$-2C0A]\ * &quot;-&quot;??_-;_-@_-"/>
    <numFmt numFmtId="199" formatCode="[$$-2C0A]#,##0.00;[Red]\([$$-2C0A]#,##0.00\)"/>
  </numFmts>
  <fonts count="167">
    <font>
      <sz val="11"/>
      <color theme="1"/>
      <name val="Calibri"/>
      <family val="2"/>
      <scheme val="minor"/>
    </font>
    <font>
      <sz val="11"/>
      <color theme="1"/>
      <name val="Calibri"/>
      <family val="2"/>
      <scheme val="minor"/>
    </font>
    <font>
      <sz val="11"/>
      <color theme="1"/>
      <name val="Calibri"/>
      <family val="2"/>
    </font>
    <font>
      <sz val="11"/>
      <color theme="1"/>
      <name val="Century Gothic"/>
      <family val="2"/>
    </font>
    <font>
      <sz val="18"/>
      <color theme="1"/>
      <name val="Century Gothic"/>
      <family val="2"/>
    </font>
    <font>
      <sz val="16"/>
      <color theme="1"/>
      <name val="Century Gothic"/>
      <family val="2"/>
    </font>
    <font>
      <sz val="12"/>
      <color theme="1"/>
      <name val="Century Gothic"/>
      <family val="2"/>
    </font>
    <font>
      <sz val="13"/>
      <color theme="1"/>
      <name val="Century Gothic"/>
      <family val="2"/>
    </font>
    <font>
      <u/>
      <sz val="12"/>
      <color theme="1"/>
      <name val="Century Gothic"/>
      <family val="2"/>
    </font>
    <font>
      <b/>
      <sz val="13"/>
      <color rgb="FFC00000"/>
      <name val="Century Gothic"/>
      <family val="2"/>
    </font>
    <font>
      <b/>
      <sz val="12"/>
      <color rgb="FFC00000"/>
      <name val="Century Gothic"/>
      <family val="2"/>
    </font>
    <font>
      <sz val="11"/>
      <color theme="1"/>
      <name val="Century Gothic"/>
      <family val="2"/>
    </font>
    <font>
      <sz val="12"/>
      <color theme="1"/>
      <name val="Calibri"/>
      <family val="2"/>
    </font>
    <font>
      <b/>
      <sz val="13"/>
      <color theme="1"/>
      <name val="Century Gothic"/>
      <family val="2"/>
    </font>
    <font>
      <b/>
      <sz val="10"/>
      <color theme="1"/>
      <name val="Century Gothic"/>
      <family val="2"/>
    </font>
    <font>
      <b/>
      <sz val="12"/>
      <color theme="1"/>
      <name val="Century Gothic"/>
      <family val="2"/>
    </font>
    <font>
      <sz val="11"/>
      <color rgb="FF000000"/>
      <name val="Century Gothic"/>
      <family val="2"/>
    </font>
    <font>
      <sz val="11"/>
      <color rgb="FF000000"/>
      <name val="Calibri"/>
      <family val="2"/>
    </font>
    <font>
      <b/>
      <sz val="21"/>
      <color theme="1"/>
      <name val="Century Gothic"/>
      <family val="2"/>
    </font>
    <font>
      <sz val="11"/>
      <color indexed="8"/>
      <name val="Calibri"/>
      <family val="2"/>
    </font>
    <font>
      <sz val="11"/>
      <color theme="1"/>
      <name val="Arial"/>
      <family val="2"/>
    </font>
    <font>
      <sz val="11"/>
      <color indexed="8"/>
      <name val="Arial"/>
      <family val="2"/>
    </font>
    <font>
      <sz val="10"/>
      <name val="Arial"/>
      <family val="2"/>
    </font>
    <font>
      <u/>
      <sz val="11"/>
      <color theme="1"/>
      <name val="Century Gothic"/>
      <family val="2"/>
    </font>
    <font>
      <sz val="14"/>
      <color theme="1"/>
      <name val="Century Gothic"/>
      <family val="2"/>
    </font>
    <font>
      <sz val="14"/>
      <color theme="1"/>
      <name val="Calibri"/>
      <family val="2"/>
      <scheme val="minor"/>
    </font>
    <font>
      <b/>
      <sz val="15"/>
      <color theme="1"/>
      <name val="Century Gothic"/>
      <family val="2"/>
    </font>
    <font>
      <b/>
      <sz val="22"/>
      <color rgb="FF0033CC"/>
      <name val="Century Gothic"/>
      <family val="2"/>
    </font>
    <font>
      <b/>
      <sz val="19"/>
      <color theme="3" tint="0.39997558519241921"/>
      <name val="Century Gothic"/>
      <family val="2"/>
    </font>
    <font>
      <sz val="19"/>
      <color theme="3" tint="0.39997558519241921"/>
      <name val="Calibri"/>
      <family val="2"/>
      <scheme val="minor"/>
    </font>
    <font>
      <b/>
      <sz val="18"/>
      <color theme="1"/>
      <name val="Century Gothic"/>
      <family val="2"/>
    </font>
    <font>
      <sz val="19"/>
      <color theme="1"/>
      <name val="Century Gothic"/>
      <family val="2"/>
    </font>
    <font>
      <b/>
      <u/>
      <sz val="13"/>
      <color theme="1"/>
      <name val="Century Gothic"/>
      <family val="2"/>
    </font>
    <font>
      <sz val="11"/>
      <name val="Century Gothic"/>
      <family val="2"/>
    </font>
    <font>
      <sz val="11"/>
      <color rgb="FF0000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font>
    <font>
      <sz val="8"/>
      <name val="Bookman Old Style"/>
      <family val="1"/>
    </font>
    <font>
      <sz val="10"/>
      <name val="Century Gothic"/>
      <family val="2"/>
    </font>
    <font>
      <b/>
      <sz val="10"/>
      <name val="Century Gothic"/>
      <family val="2"/>
    </font>
    <font>
      <sz val="12"/>
      <name val="Calibri"/>
      <family val="2"/>
    </font>
    <font>
      <b/>
      <sz val="12"/>
      <name val="Calibri"/>
      <family val="2"/>
    </font>
    <font>
      <b/>
      <sz val="14"/>
      <name val="Calibri"/>
      <family val="2"/>
    </font>
    <font>
      <b/>
      <sz val="11"/>
      <name val="Calibri"/>
      <family val="2"/>
    </font>
    <font>
      <sz val="10"/>
      <name val="Calibri"/>
      <family val="2"/>
    </font>
    <font>
      <sz val="11"/>
      <color rgb="FF16365C"/>
      <name val="Calibri"/>
      <family val="2"/>
    </font>
    <font>
      <b/>
      <sz val="11"/>
      <color rgb="FF16365C"/>
      <name val="Calibri"/>
      <family val="2"/>
    </font>
    <font>
      <sz val="8"/>
      <name val="Calibri"/>
      <family val="2"/>
    </font>
    <font>
      <sz val="11"/>
      <color theme="3" tint="-0.249977111117893"/>
      <name val="Calibri"/>
      <family val="2"/>
    </font>
    <font>
      <b/>
      <sz val="11"/>
      <color theme="3" tint="-0.249977111117893"/>
      <name val="Calibri"/>
      <family val="2"/>
    </font>
    <font>
      <sz val="10"/>
      <color theme="3" tint="-0.249977111117893"/>
      <name val="Calibri"/>
      <family val="2"/>
    </font>
    <font>
      <sz val="8"/>
      <color rgb="FF16365C"/>
      <name val="Calibri"/>
      <family val="2"/>
    </font>
    <font>
      <b/>
      <sz val="11"/>
      <color rgb="FFFF0000"/>
      <name val="Calibri"/>
      <family val="2"/>
    </font>
    <font>
      <sz val="11"/>
      <color rgb="FFFF0000"/>
      <name val="Calibri"/>
      <family val="2"/>
    </font>
    <font>
      <sz val="8"/>
      <color theme="3" tint="-0.249977111117893"/>
      <name val="Calibri"/>
      <family val="2"/>
    </font>
    <font>
      <sz val="9"/>
      <color theme="3" tint="-0.249977111117893"/>
      <name val="Calibri"/>
      <family val="2"/>
    </font>
    <font>
      <sz val="9"/>
      <name val="Calibri"/>
      <family val="2"/>
    </font>
    <font>
      <i/>
      <sz val="11"/>
      <color theme="3" tint="-0.249977111117893"/>
      <name val="Calibri"/>
      <family val="2"/>
    </font>
    <font>
      <b/>
      <i/>
      <sz val="11"/>
      <name val="Calibri"/>
      <family val="2"/>
    </font>
    <font>
      <b/>
      <sz val="10"/>
      <name val="Calibri"/>
      <family val="2"/>
    </font>
    <font>
      <b/>
      <u/>
      <sz val="12"/>
      <name val="Calibri"/>
      <family val="2"/>
    </font>
    <font>
      <b/>
      <u/>
      <sz val="11"/>
      <name val="Calibri"/>
      <family val="2"/>
    </font>
    <font>
      <sz val="13"/>
      <color indexed="8"/>
      <name val="Calibri"/>
      <family val="2"/>
    </font>
    <font>
      <b/>
      <u/>
      <sz val="12"/>
      <name val="Calibri"/>
      <family val="2"/>
      <scheme val="minor"/>
    </font>
    <font>
      <b/>
      <sz val="11"/>
      <color rgb="FFFF0000"/>
      <name val="Calibri"/>
      <family val="2"/>
      <scheme val="minor"/>
    </font>
    <font>
      <sz val="11"/>
      <name val="Calibri"/>
      <family val="2"/>
      <scheme val="minor"/>
    </font>
    <font>
      <b/>
      <sz val="12"/>
      <name val="Calibri"/>
      <family val="2"/>
      <scheme val="minor"/>
    </font>
    <font>
      <b/>
      <sz val="1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2"/>
      <color indexed="8"/>
      <name val="Calibri"/>
      <family val="2"/>
    </font>
    <font>
      <b/>
      <u/>
      <sz val="11"/>
      <name val="Calibri"/>
      <family val="2"/>
      <scheme val="minor"/>
    </font>
    <font>
      <sz val="11"/>
      <color rgb="FFC00000"/>
      <name val="Calibri"/>
      <family val="2"/>
      <scheme val="minor"/>
    </font>
    <font>
      <sz val="10"/>
      <name val="Courier"/>
      <family val="3"/>
    </font>
    <font>
      <b/>
      <sz val="12"/>
      <color theme="1"/>
      <name val="Calibri"/>
      <family val="2"/>
      <scheme val="minor"/>
    </font>
    <font>
      <sz val="12"/>
      <color theme="1"/>
      <name val="Calibri"/>
      <family val="2"/>
      <scheme val="minor"/>
    </font>
    <font>
      <b/>
      <sz val="11"/>
      <color theme="1"/>
      <name val="Century Gothic"/>
      <family val="2"/>
    </font>
    <font>
      <sz val="10"/>
      <color theme="1"/>
      <name val="Century Gothic"/>
      <family val="2"/>
    </font>
    <font>
      <b/>
      <sz val="12"/>
      <color indexed="10"/>
      <name val="Calibri"/>
      <family val="2"/>
    </font>
    <font>
      <sz val="8"/>
      <color theme="1"/>
      <name val="Calibri"/>
      <family val="2"/>
      <scheme val="minor"/>
    </font>
    <font>
      <sz val="8"/>
      <name val="Calibri"/>
      <family val="2"/>
      <scheme val="minor"/>
    </font>
    <font>
      <b/>
      <u/>
      <sz val="8"/>
      <name val="Calibri"/>
      <family val="2"/>
      <scheme val="minor"/>
    </font>
    <font>
      <b/>
      <sz val="8"/>
      <name val="Calibri"/>
      <family val="2"/>
      <scheme val="minor"/>
    </font>
    <font>
      <b/>
      <sz val="8"/>
      <name val="Calibri"/>
      <family val="2"/>
    </font>
    <font>
      <b/>
      <sz val="8"/>
      <color theme="1"/>
      <name val="Calibri"/>
      <family val="2"/>
      <scheme val="minor"/>
    </font>
    <font>
      <b/>
      <u/>
      <sz val="8"/>
      <color theme="1"/>
      <name val="Calibri"/>
      <family val="2"/>
      <scheme val="minor"/>
    </font>
    <font>
      <sz val="8"/>
      <color rgb="FFC00000"/>
      <name val="Calibri"/>
      <family val="2"/>
      <scheme val="minor"/>
    </font>
    <font>
      <b/>
      <sz val="8"/>
      <color theme="0"/>
      <name val="Calibri"/>
      <family val="2"/>
      <scheme val="minor"/>
    </font>
    <font>
      <sz val="8"/>
      <color theme="0"/>
      <name val="Calibri"/>
      <family val="2"/>
      <scheme val="minor"/>
    </font>
    <font>
      <b/>
      <i/>
      <u/>
      <sz val="8"/>
      <color theme="1"/>
      <name val="Calibri"/>
      <family val="2"/>
      <scheme val="minor"/>
    </font>
    <font>
      <b/>
      <u/>
      <sz val="8"/>
      <color rgb="FF000000"/>
      <name val="Calibri"/>
      <family val="2"/>
      <scheme val="minor"/>
    </font>
    <font>
      <b/>
      <sz val="8"/>
      <color rgb="FF000000"/>
      <name val="Calibri"/>
      <family val="2"/>
      <scheme val="minor"/>
    </font>
    <font>
      <b/>
      <sz val="16"/>
      <name val="Calibri"/>
      <family val="2"/>
      <scheme val="minor"/>
    </font>
    <font>
      <b/>
      <sz val="14"/>
      <name val="Calibri"/>
      <family val="2"/>
      <scheme val="minor"/>
    </font>
    <font>
      <b/>
      <u/>
      <sz val="16"/>
      <name val="Calibri"/>
      <family val="2"/>
      <scheme val="minor"/>
    </font>
    <font>
      <b/>
      <sz val="18"/>
      <color rgb="FFC00000"/>
      <name val="Calibri"/>
      <family val="2"/>
      <scheme val="minor"/>
    </font>
    <font>
      <b/>
      <sz val="11"/>
      <color rgb="FF0070C0"/>
      <name val="Calibri"/>
      <family val="2"/>
      <scheme val="minor"/>
    </font>
    <font>
      <sz val="9"/>
      <color theme="1"/>
      <name val="Calibri"/>
      <family val="2"/>
      <scheme val="minor"/>
    </font>
    <font>
      <b/>
      <sz val="18"/>
      <color theme="1"/>
      <name val="Calibri"/>
      <family val="2"/>
      <scheme val="minor"/>
    </font>
    <font>
      <b/>
      <sz val="14"/>
      <color theme="1"/>
      <name val="Calibri"/>
      <family val="2"/>
      <scheme val="minor"/>
    </font>
    <font>
      <b/>
      <sz val="13"/>
      <color theme="1"/>
      <name val="Calibri"/>
      <family val="2"/>
      <scheme val="minor"/>
    </font>
    <font>
      <b/>
      <sz val="13"/>
      <color indexed="10"/>
      <name val="Calibri"/>
      <family val="2"/>
    </font>
    <font>
      <b/>
      <sz val="13"/>
      <color indexed="8"/>
      <name val="Calibri"/>
      <family val="2"/>
    </font>
    <font>
      <b/>
      <sz val="13"/>
      <color rgb="FFFF0000"/>
      <name val="Calibri"/>
      <family val="2"/>
      <scheme val="minor"/>
    </font>
    <font>
      <b/>
      <sz val="9"/>
      <color theme="1"/>
      <name val="Calibri"/>
      <family val="2"/>
      <scheme val="minor"/>
    </font>
    <font>
      <b/>
      <sz val="8"/>
      <name val="Arial"/>
      <family val="2"/>
    </font>
    <font>
      <b/>
      <u/>
      <sz val="12"/>
      <color indexed="8"/>
      <name val="Calibri"/>
      <family val="2"/>
    </font>
    <font>
      <b/>
      <u/>
      <sz val="11"/>
      <color indexed="8"/>
      <name val="Calibri"/>
      <family val="2"/>
    </font>
    <font>
      <b/>
      <sz val="11"/>
      <color indexed="8"/>
      <name val="Calibri"/>
      <family val="2"/>
    </font>
    <font>
      <b/>
      <sz val="11"/>
      <color indexed="12"/>
      <name val="Calibri"/>
      <family val="2"/>
    </font>
    <font>
      <b/>
      <sz val="11"/>
      <color indexed="9"/>
      <name val="Calibri"/>
      <family val="2"/>
    </font>
    <font>
      <b/>
      <sz val="11"/>
      <name val="Century Gothic"/>
      <family val="2"/>
    </font>
    <font>
      <b/>
      <u/>
      <sz val="11"/>
      <color theme="1"/>
      <name val="Calibri"/>
      <family val="2"/>
      <scheme val="minor"/>
    </font>
    <font>
      <b/>
      <sz val="11"/>
      <color rgb="FF0066FF"/>
      <name val="Calibri"/>
      <family val="2"/>
      <scheme val="minor"/>
    </font>
    <font>
      <sz val="8"/>
      <color theme="1"/>
      <name val="Bookman Old Style"/>
      <family val="1"/>
    </font>
    <font>
      <b/>
      <sz val="9"/>
      <color indexed="81"/>
      <name val="Tahoma"/>
      <family val="2"/>
    </font>
    <font>
      <sz val="9"/>
      <color indexed="81"/>
      <name val="Tahoma"/>
      <family val="2"/>
    </font>
    <font>
      <u/>
      <sz val="11"/>
      <color theme="1"/>
      <name val="Calibri"/>
      <family val="2"/>
      <scheme val="minor"/>
    </font>
    <font>
      <sz val="11"/>
      <color rgb="FFFF0000"/>
      <name val="Calibri"/>
      <family val="2"/>
      <scheme val="minor"/>
    </font>
    <font>
      <sz val="11"/>
      <color rgb="FFFF0000"/>
      <name val="Century Gothic"/>
      <family val="2"/>
    </font>
    <font>
      <sz val="9"/>
      <name val="Calibri"/>
      <family val="2"/>
      <scheme val="minor"/>
    </font>
    <font>
      <b/>
      <sz val="9"/>
      <name val="Calibri"/>
      <family val="2"/>
      <scheme val="minor"/>
    </font>
    <font>
      <b/>
      <u/>
      <sz val="10"/>
      <name val="Calibri"/>
      <family val="2"/>
    </font>
    <font>
      <b/>
      <sz val="10"/>
      <color indexed="9"/>
      <name val="Calibri"/>
      <family val="2"/>
    </font>
    <font>
      <sz val="10"/>
      <color indexed="9"/>
      <name val="Calibri"/>
      <family val="2"/>
    </font>
    <font>
      <b/>
      <sz val="10"/>
      <color indexed="8"/>
      <name val="Calibri"/>
      <family val="2"/>
    </font>
    <font>
      <sz val="10"/>
      <color indexed="8"/>
      <name val="Calibri"/>
      <family val="2"/>
    </font>
    <font>
      <sz val="10"/>
      <color indexed="8"/>
      <name val="Century Gothic"/>
      <family val="2"/>
    </font>
    <font>
      <sz val="8"/>
      <color indexed="8"/>
      <name val="Calibri"/>
      <family val="2"/>
    </font>
    <font>
      <sz val="12"/>
      <color indexed="8"/>
      <name val="Calibri"/>
      <family val="2"/>
    </font>
    <font>
      <b/>
      <u/>
      <sz val="12"/>
      <color theme="1"/>
      <name val="Calibri"/>
      <family val="2"/>
      <scheme val="minor"/>
    </font>
    <font>
      <sz val="12"/>
      <name val="Arial Narrow"/>
      <family val="2"/>
    </font>
    <font>
      <sz val="10"/>
      <color rgb="FF000000"/>
      <name val="Roboto"/>
    </font>
    <font>
      <sz val="12"/>
      <color indexed="8"/>
      <name val="Garamond"/>
      <family val="1"/>
    </font>
    <font>
      <sz val="12"/>
      <color indexed="8"/>
      <name val="Symbol"/>
      <family val="1"/>
      <charset val="2"/>
    </font>
    <font>
      <sz val="7"/>
      <color indexed="8"/>
      <name val="Calibri"/>
      <family val="2"/>
    </font>
    <font>
      <b/>
      <sz val="9"/>
      <color theme="0"/>
      <name val="Calibri"/>
      <family val="2"/>
      <scheme val="minor"/>
    </font>
    <font>
      <b/>
      <sz val="6"/>
      <color theme="0"/>
      <name val="Calibri"/>
      <family val="2"/>
      <scheme val="minor"/>
    </font>
    <font>
      <b/>
      <sz val="4"/>
      <color theme="0"/>
      <name val="Calibri"/>
      <family val="2"/>
      <scheme val="minor"/>
    </font>
    <font>
      <sz val="7"/>
      <color theme="1"/>
      <name val="Calibri"/>
      <family val="2"/>
      <scheme val="minor"/>
    </font>
    <font>
      <b/>
      <i/>
      <sz val="11"/>
      <color indexed="8"/>
      <name val="Calibri"/>
      <family val="2"/>
    </font>
    <font>
      <b/>
      <u/>
      <sz val="9"/>
      <name val="Calibri"/>
      <family val="2"/>
      <scheme val="minor"/>
    </font>
    <font>
      <b/>
      <sz val="9"/>
      <name val="Calibri"/>
      <family val="2"/>
    </font>
    <font>
      <sz val="9"/>
      <color theme="0"/>
      <name val="Calibri"/>
      <family val="2"/>
      <scheme val="minor"/>
    </font>
    <font>
      <sz val="7"/>
      <color theme="1"/>
      <name val="Arial"/>
      <family val="2"/>
    </font>
    <font>
      <sz val="7"/>
      <name val="Arial"/>
      <family val="2"/>
    </font>
    <font>
      <sz val="7"/>
      <name val="Calibri"/>
      <family val="2"/>
      <scheme val="minor"/>
    </font>
    <font>
      <b/>
      <sz val="7"/>
      <color theme="1"/>
      <name val="Calibri"/>
      <family val="2"/>
      <scheme val="minor"/>
    </font>
    <font>
      <sz val="6"/>
      <color theme="1"/>
      <name val="Calibri"/>
      <family val="2"/>
      <scheme val="minor"/>
    </font>
    <font>
      <b/>
      <sz val="7"/>
      <name val="Calibri"/>
      <family val="2"/>
      <scheme val="minor"/>
    </font>
    <font>
      <sz val="6"/>
      <name val="Calibri"/>
      <family val="2"/>
      <scheme val="minor"/>
    </font>
    <font>
      <sz val="12"/>
      <name val="Courier"/>
      <family val="3"/>
    </font>
    <font>
      <sz val="11"/>
      <color indexed="9"/>
      <name val="Calibri"/>
      <family val="2"/>
    </font>
    <font>
      <sz val="10"/>
      <color indexed="8"/>
      <name val="Calibri"/>
      <family val="2"/>
      <charset val="1"/>
    </font>
    <font>
      <sz val="8"/>
      <color indexed="8"/>
      <name val="Calibri"/>
      <family val="2"/>
      <charset val="1"/>
    </font>
    <font>
      <sz val="9.5"/>
      <color indexed="8"/>
      <name val="Calibri"/>
      <family val="2"/>
      <charset val="1"/>
    </font>
    <font>
      <sz val="9"/>
      <color indexed="8"/>
      <name val="Calibri"/>
      <family val="2"/>
    </font>
    <font>
      <b/>
      <sz val="11"/>
      <color indexed="10"/>
      <name val="Calibri"/>
      <family val="2"/>
    </font>
    <font>
      <b/>
      <sz val="13"/>
      <color indexed="60"/>
      <name val="Calibri"/>
      <family val="2"/>
    </font>
    <font>
      <b/>
      <sz val="11"/>
      <color indexed="60"/>
      <name val="Calibri"/>
      <family val="2"/>
    </font>
    <font>
      <sz val="11"/>
      <color indexed="60"/>
      <name val="Calibri"/>
      <family val="2"/>
    </font>
    <font>
      <b/>
      <sz val="12"/>
      <color indexed="8"/>
      <name val="Century Gothic"/>
      <family val="2"/>
    </font>
    <font>
      <sz val="12"/>
      <color indexed="8"/>
      <name val="Century Gothic"/>
      <family val="2"/>
    </font>
  </fonts>
  <fills count="3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E7E6E6"/>
        <bgColor rgb="FFE7E6E6"/>
      </patternFill>
    </fill>
    <fill>
      <patternFill patternType="solid">
        <fgColor rgb="FFFFFF00"/>
        <bgColor indexed="64"/>
      </patternFill>
    </fill>
    <fill>
      <patternFill patternType="solid">
        <fgColor indexed="9"/>
        <bgColor indexed="64"/>
      </patternFill>
    </fill>
    <fill>
      <patternFill patternType="solid">
        <fgColor indexed="49"/>
        <bgColor indexed="64"/>
      </patternFill>
    </fill>
    <fill>
      <patternFill patternType="solid">
        <fgColor theme="0"/>
        <bgColor indexed="64"/>
      </patternFill>
    </fill>
    <fill>
      <patternFill patternType="solid">
        <fgColor indexed="11"/>
        <bgColor indexed="64"/>
      </patternFill>
    </fill>
    <fill>
      <patternFill patternType="solid">
        <fgColor indexed="46"/>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rgb="FF548DD4"/>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FFFF"/>
        <bgColor rgb="FF000000"/>
      </patternFill>
    </fill>
    <fill>
      <patternFill patternType="solid">
        <fgColor theme="8" tint="0.79998168889431442"/>
        <bgColor indexed="64"/>
      </patternFill>
    </fill>
    <fill>
      <patternFill patternType="solid">
        <fgColor indexed="9"/>
        <bgColor indexed="26"/>
      </patternFill>
    </fill>
    <fill>
      <patternFill patternType="solid">
        <fgColor indexed="30"/>
        <bgColor indexed="21"/>
      </patternFill>
    </fill>
    <fill>
      <patternFill patternType="solid">
        <fgColor indexed="55"/>
        <bgColor indexed="23"/>
      </patternFill>
    </fill>
    <fill>
      <patternFill patternType="solid">
        <fgColor rgb="FFFFFFFF"/>
        <bgColor rgb="FFFFFFFF"/>
      </patternFill>
    </fill>
    <fill>
      <patternFill patternType="solid">
        <fgColor theme="4" tint="0.79998168889431442"/>
        <bgColor indexed="64"/>
      </patternFill>
    </fill>
    <fill>
      <patternFill patternType="solid">
        <fgColor indexed="31"/>
        <bgColor indexed="64"/>
      </patternFill>
    </fill>
    <fill>
      <patternFill patternType="solid">
        <fgColor theme="1" tint="0.499984740745262"/>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49"/>
        <bgColor indexed="40"/>
      </patternFill>
    </fill>
    <fill>
      <patternFill patternType="solid">
        <fgColor indexed="31"/>
        <bgColor indexed="22"/>
      </patternFill>
    </fill>
    <fill>
      <patternFill patternType="solid">
        <fgColor indexed="52"/>
        <bgColor indexed="51"/>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44"/>
      </left>
      <right style="thin">
        <color indexed="44"/>
      </right>
      <top/>
      <bottom/>
      <diagonal/>
    </border>
    <border>
      <left style="thin">
        <color indexed="44"/>
      </left>
      <right/>
      <top/>
      <bottom style="thin">
        <color indexed="44"/>
      </bottom>
      <diagonal/>
    </border>
    <border>
      <left/>
      <right style="thin">
        <color indexed="44"/>
      </right>
      <top/>
      <bottom style="thin">
        <color indexed="44"/>
      </bottom>
      <diagonal/>
    </border>
    <border>
      <left style="thin">
        <color indexed="44"/>
      </left>
      <right style="thin">
        <color indexed="44"/>
      </right>
      <top/>
      <bottom style="thin">
        <color indexed="44"/>
      </bottom>
      <diagonal/>
    </border>
    <border>
      <left/>
      <right style="thin">
        <color indexed="44"/>
      </right>
      <top/>
      <bottom/>
      <diagonal/>
    </border>
    <border>
      <left style="thin">
        <color indexed="44"/>
      </left>
      <right/>
      <top/>
      <bottom/>
      <diagonal/>
    </border>
    <border>
      <left style="thin">
        <color rgb="FF9BC2E6"/>
      </left>
      <right style="thin">
        <color rgb="FF9BC2E6"/>
      </right>
      <top/>
      <bottom/>
      <diagonal/>
    </border>
    <border>
      <left style="thin">
        <color rgb="FF9BC2E6"/>
      </left>
      <right/>
      <top/>
      <bottom style="thin">
        <color rgb="FF9BC2E6"/>
      </bottom>
      <diagonal/>
    </border>
    <border>
      <left/>
      <right style="thin">
        <color rgb="FF9BC2E6"/>
      </right>
      <top/>
      <bottom style="thin">
        <color rgb="FF9BC2E6"/>
      </bottom>
      <diagonal/>
    </border>
    <border>
      <left style="thin">
        <color rgb="FF9BC2E6"/>
      </left>
      <right style="thin">
        <color rgb="FF9BC2E6"/>
      </right>
      <top/>
      <bottom style="thin">
        <color rgb="FF9BC2E6"/>
      </bottom>
      <diagonal/>
    </border>
    <border>
      <left style="medium">
        <color indexed="64"/>
      </left>
      <right/>
      <top style="medium">
        <color indexed="64"/>
      </top>
      <bottom style="medium">
        <color indexed="64"/>
      </bottom>
      <diagonal/>
    </border>
    <border>
      <left style="thin">
        <color rgb="FF9BC2E6"/>
      </left>
      <right style="thin">
        <color rgb="FF9BC2E6"/>
      </right>
      <top style="medium">
        <color indexed="64"/>
      </top>
      <bottom style="medium">
        <color indexed="64"/>
      </bottom>
      <diagonal/>
    </border>
    <border>
      <left style="thin">
        <color rgb="FF9BC2E6"/>
      </left>
      <right style="medium">
        <color indexed="64"/>
      </right>
      <top style="medium">
        <color indexed="64"/>
      </top>
      <bottom style="medium">
        <color indexed="64"/>
      </bottom>
      <diagonal/>
    </border>
    <border>
      <left style="thin">
        <color rgb="FF9BC2E6"/>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right style="thin">
        <color rgb="FF9BC2E6"/>
      </right>
      <top/>
      <bottom/>
      <diagonal/>
    </border>
    <border>
      <left style="thin">
        <color rgb="FF9BC2E6"/>
      </left>
      <right/>
      <top/>
      <bottom/>
      <diagonal/>
    </border>
    <border>
      <left style="thin">
        <color indexed="63"/>
      </left>
      <right style="thin">
        <color indexed="63"/>
      </right>
      <top style="thin">
        <color indexed="63"/>
      </top>
      <bottom style="thin">
        <color indexed="63"/>
      </bottom>
      <diagonal/>
    </border>
  </borders>
  <cellStyleXfs count="36">
    <xf numFmtId="0" fontId="0" fillId="0" borderId="0"/>
    <xf numFmtId="0" fontId="1" fillId="0" borderId="0"/>
    <xf numFmtId="0" fontId="19" fillId="0" borderId="0"/>
    <xf numFmtId="0" fontId="19" fillId="0" borderId="0"/>
    <xf numFmtId="167" fontId="19" fillId="0" borderId="0" applyFill="0" applyBorder="0" applyAlignment="0" applyProtection="0"/>
    <xf numFmtId="168" fontId="19" fillId="0" borderId="0" applyFill="0" applyBorder="0" applyAlignment="0" applyProtection="0"/>
    <xf numFmtId="0" fontId="20" fillId="0" borderId="0"/>
    <xf numFmtId="44" fontId="1" fillId="0" borderId="0" applyFont="0" applyFill="0" applyBorder="0" applyAlignment="0" applyProtection="0"/>
    <xf numFmtId="9" fontId="1" fillId="0" borderId="0" applyFont="0" applyFill="0" applyBorder="0" applyAlignment="0" applyProtection="0"/>
    <xf numFmtId="0" fontId="21" fillId="0" borderId="0"/>
    <xf numFmtId="170" fontId="21" fillId="0" borderId="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44" fontId="1" fillId="0" borderId="0" applyFont="0" applyFill="0" applyBorder="0" applyAlignment="0" applyProtection="0"/>
    <xf numFmtId="44" fontId="20" fillId="0" borderId="0" applyFont="0" applyFill="0" applyBorder="0" applyAlignment="0" applyProtection="0"/>
    <xf numFmtId="0" fontId="1" fillId="0" borderId="0"/>
    <xf numFmtId="0" fontId="20" fillId="0" borderId="0"/>
    <xf numFmtId="9" fontId="1" fillId="0" borderId="0" applyFont="0" applyFill="0" applyBorder="0" applyAlignment="0" applyProtection="0"/>
    <xf numFmtId="0" fontId="22" fillId="0" borderId="0"/>
    <xf numFmtId="43" fontId="1" fillId="0" borderId="0" applyFont="0" applyFill="0" applyBorder="0" applyAlignment="0" applyProtection="0"/>
    <xf numFmtId="9" fontId="19" fillId="0" borderId="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34"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97" fontId="22" fillId="0" borderId="0" applyFill="0" applyBorder="0" applyAlignment="0" applyProtection="0"/>
  </cellStyleXfs>
  <cellXfs count="1525">
    <xf numFmtId="0" fontId="0" fillId="0" borderId="0" xfId="0"/>
    <xf numFmtId="0" fontId="2" fillId="0" borderId="0" xfId="0" applyFont="1"/>
    <xf numFmtId="0" fontId="3" fillId="0" borderId="0" xfId="0" applyFont="1"/>
    <xf numFmtId="0" fontId="4" fillId="0" borderId="0" xfId="0" applyFont="1" applyAlignment="1">
      <alignment horizontal="center"/>
    </xf>
    <xf numFmtId="166" fontId="4" fillId="0" borderId="0" xfId="0" applyNumberFormat="1" applyFont="1" applyAlignment="1">
      <alignment horizontal="center"/>
    </xf>
    <xf numFmtId="0" fontId="5" fillId="0" borderId="0" xfId="0" applyFont="1" applyAlignment="1">
      <alignment vertical="center"/>
    </xf>
    <xf numFmtId="166" fontId="3" fillId="0" borderId="0" xfId="0" applyNumberFormat="1" applyFont="1" applyAlignment="1">
      <alignment horizontal="center"/>
    </xf>
    <xf numFmtId="0" fontId="7" fillId="0" borderId="0" xfId="0" applyFont="1" applyAlignment="1">
      <alignment vertical="center"/>
    </xf>
    <xf numFmtId="0" fontId="6" fillId="0" borderId="0" xfId="0" applyFont="1"/>
    <xf numFmtId="0" fontId="7" fillId="0" borderId="0" xfId="0" applyFont="1"/>
    <xf numFmtId="166" fontId="7" fillId="0" borderId="0" xfId="0" applyNumberFormat="1" applyFont="1" applyAlignment="1">
      <alignment horizontal="center"/>
    </xf>
    <xf numFmtId="0" fontId="9" fillId="0" borderId="0" xfId="0" applyFont="1"/>
    <xf numFmtId="0" fontId="10" fillId="0" borderId="0" xfId="0" applyFont="1"/>
    <xf numFmtId="0" fontId="11" fillId="0" borderId="0" xfId="0" applyFont="1"/>
    <xf numFmtId="0" fontId="12" fillId="0" borderId="0" xfId="0" applyFont="1"/>
    <xf numFmtId="166" fontId="6" fillId="0" borderId="0" xfId="0" applyNumberFormat="1" applyFont="1" applyAlignment="1">
      <alignment horizontal="center"/>
    </xf>
    <xf numFmtId="0" fontId="13" fillId="3" borderId="0" xfId="0" applyFont="1" applyFill="1" applyBorder="1"/>
    <xf numFmtId="0" fontId="2" fillId="3" borderId="0" xfId="0" applyFont="1" applyFill="1" applyBorder="1"/>
    <xf numFmtId="0" fontId="2" fillId="0" borderId="0" xfId="0" applyFont="1" applyAlignment="1"/>
    <xf numFmtId="0" fontId="17" fillId="0" borderId="0" xfId="0" applyFont="1" applyAlignment="1"/>
    <xf numFmtId="0" fontId="0" fillId="0" borderId="0" xfId="0" applyFont="1" applyAlignment="1"/>
    <xf numFmtId="0" fontId="2" fillId="0" borderId="0" xfId="0" applyFont="1" applyFill="1" applyBorder="1"/>
    <xf numFmtId="166" fontId="3" fillId="0" borderId="0" xfId="0" applyNumberFormat="1" applyFont="1" applyFill="1" applyBorder="1" applyAlignment="1">
      <alignment horizontal="center"/>
    </xf>
    <xf numFmtId="0" fontId="14" fillId="4" borderId="1" xfId="0" applyFont="1" applyFill="1" applyBorder="1" applyAlignment="1">
      <alignment horizontal="center" vertical="center" wrapText="1"/>
    </xf>
    <xf numFmtId="0" fontId="0" fillId="0" borderId="0" xfId="0" applyFont="1" applyAlignment="1"/>
    <xf numFmtId="0" fontId="6" fillId="0" borderId="0" xfId="0" applyFont="1" applyAlignment="1">
      <alignment horizontal="left"/>
    </xf>
    <xf numFmtId="14" fontId="7" fillId="0" borderId="0" xfId="0" applyNumberFormat="1" applyFont="1" applyAlignment="1">
      <alignment horizontal="left"/>
    </xf>
    <xf numFmtId="0" fontId="6" fillId="0" borderId="0" xfId="0" applyFont="1" applyAlignment="1">
      <alignment horizontal="left" vertical="center"/>
    </xf>
    <xf numFmtId="0" fontId="23" fillId="0" borderId="0" xfId="0" applyFont="1"/>
    <xf numFmtId="0" fontId="24" fillId="0" borderId="0" xfId="0" applyFont="1" applyAlignment="1">
      <alignment vertical="center"/>
    </xf>
    <xf numFmtId="0" fontId="27" fillId="2" borderId="0" xfId="0" applyFont="1" applyFill="1" applyBorder="1" applyAlignment="1">
      <alignment horizontal="center" vertical="center"/>
    </xf>
    <xf numFmtId="0" fontId="28" fillId="0" borderId="0" xfId="0" applyFont="1" applyAlignment="1"/>
    <xf numFmtId="0" fontId="29" fillId="0" borderId="0" xfId="0" applyFont="1" applyAlignment="1"/>
    <xf numFmtId="0" fontId="31" fillId="0" borderId="0" xfId="0" applyFont="1"/>
    <xf numFmtId="0" fontId="32" fillId="0" borderId="0" xfId="0" applyFont="1" applyAlignment="1">
      <alignment vertical="center"/>
    </xf>
    <xf numFmtId="0" fontId="0" fillId="0" borderId="0" xfId="0" applyFont="1" applyAlignment="1">
      <alignment wrapText="1"/>
    </xf>
    <xf numFmtId="0" fontId="6" fillId="0" borderId="0" xfId="0" applyFont="1" applyAlignment="1">
      <alignment horizontal="justify" wrapText="1"/>
    </xf>
    <xf numFmtId="0" fontId="25" fillId="0" borderId="0" xfId="0" applyFont="1" applyAlignment="1"/>
    <xf numFmtId="0" fontId="14" fillId="4" borderId="1" xfId="0"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left" vertical="top"/>
    </xf>
    <xf numFmtId="0" fontId="38" fillId="0" borderId="0" xfId="0" applyFont="1"/>
    <xf numFmtId="0" fontId="38" fillId="0" borderId="0" xfId="0" applyFont="1" applyBorder="1"/>
    <xf numFmtId="172" fontId="39" fillId="0" borderId="0" xfId="0" applyNumberFormat="1" applyFont="1" applyFill="1" applyBorder="1" applyAlignment="1" applyProtection="1">
      <alignment horizontal="left"/>
    </xf>
    <xf numFmtId="172" fontId="40" fillId="0" borderId="0" xfId="0" applyNumberFormat="1" applyFont="1" applyFill="1" applyBorder="1" applyAlignment="1" applyProtection="1">
      <alignment horizontal="left"/>
    </xf>
    <xf numFmtId="172" fontId="41" fillId="0" borderId="0" xfId="0" applyNumberFormat="1" applyFont="1" applyFill="1" applyBorder="1" applyAlignment="1" applyProtection="1">
      <alignment horizontal="left"/>
    </xf>
    <xf numFmtId="0" fontId="38" fillId="6" borderId="0" xfId="1" applyFont="1" applyFill="1" applyBorder="1" applyAlignment="1">
      <alignment vertical="center"/>
    </xf>
    <xf numFmtId="0" fontId="38" fillId="6" borderId="0" xfId="1" applyFont="1" applyFill="1" applyBorder="1" applyAlignment="1">
      <alignment horizontal="left" vertical="center"/>
    </xf>
    <xf numFmtId="0" fontId="42" fillId="0" borderId="0" xfId="0" applyFont="1"/>
    <xf numFmtId="44" fontId="43" fillId="7" borderId="1" xfId="14" applyFont="1" applyFill="1" applyBorder="1" applyAlignment="1">
      <alignment horizontal="center" vertical="center"/>
    </xf>
    <xf numFmtId="0" fontId="43" fillId="7" borderId="4" xfId="1" applyFont="1" applyFill="1" applyBorder="1" applyAlignment="1">
      <alignment horizontal="center" vertical="center"/>
    </xf>
    <xf numFmtId="0" fontId="43" fillId="7" borderId="5" xfId="1" applyFont="1" applyFill="1" applyBorder="1" applyAlignment="1">
      <alignment horizontal="center" vertical="center"/>
    </xf>
    <xf numFmtId="9" fontId="43" fillId="7" borderId="5" xfId="15" applyFont="1" applyFill="1" applyBorder="1" applyAlignment="1">
      <alignment horizontal="center" vertical="center"/>
    </xf>
    <xf numFmtId="0" fontId="44" fillId="7" borderId="2" xfId="1" applyFont="1" applyFill="1" applyBorder="1" applyAlignment="1">
      <alignment horizontal="left" vertical="center"/>
    </xf>
    <xf numFmtId="0" fontId="38" fillId="0" borderId="0" xfId="0" applyFont="1" applyFill="1"/>
    <xf numFmtId="44" fontId="38" fillId="0" borderId="1" xfId="14" applyFont="1" applyFill="1" applyBorder="1" applyAlignment="1">
      <alignment horizontal="center" vertical="center"/>
    </xf>
    <xf numFmtId="0" fontId="38" fillId="0" borderId="1" xfId="1" applyFont="1" applyFill="1" applyBorder="1" applyAlignment="1">
      <alignment horizontal="center" vertical="center"/>
    </xf>
    <xf numFmtId="41" fontId="45" fillId="6" borderId="1" xfId="15" applyNumberFormat="1" applyFont="1" applyFill="1" applyBorder="1" applyAlignment="1">
      <alignment horizontal="center" vertical="center"/>
    </xf>
    <xf numFmtId="9" fontId="38" fillId="6" borderId="1" xfId="15" applyNumberFormat="1" applyFont="1" applyFill="1" applyBorder="1" applyAlignment="1">
      <alignment horizontal="center" vertical="center"/>
    </xf>
    <xf numFmtId="0" fontId="46" fillId="0" borderId="1" xfId="1" applyFont="1" applyFill="1" applyBorder="1" applyAlignment="1">
      <alignment horizontal="center" vertical="center"/>
    </xf>
    <xf numFmtId="0" fontId="38" fillId="0" borderId="1" xfId="1" applyFont="1" applyFill="1" applyBorder="1" applyAlignment="1">
      <alignment vertical="center"/>
    </xf>
    <xf numFmtId="9" fontId="45" fillId="6" borderId="1" xfId="15" applyNumberFormat="1" applyFont="1" applyFill="1" applyBorder="1" applyAlignment="1">
      <alignment horizontal="center" vertical="center"/>
    </xf>
    <xf numFmtId="44" fontId="38" fillId="0" borderId="0" xfId="0" applyNumberFormat="1" applyFont="1" applyFill="1"/>
    <xf numFmtId="8" fontId="47" fillId="8" borderId="1" xfId="1" applyNumberFormat="1" applyFont="1" applyFill="1" applyBorder="1" applyAlignment="1">
      <alignment horizontal="center" vertical="center"/>
    </xf>
    <xf numFmtId="44" fontId="38" fillId="0" borderId="4" xfId="14" applyFont="1" applyFill="1" applyBorder="1" applyAlignment="1">
      <alignment horizontal="center" vertical="center"/>
    </xf>
    <xf numFmtId="0" fontId="38" fillId="0" borderId="5" xfId="1" applyFont="1" applyFill="1" applyBorder="1" applyAlignment="1">
      <alignment horizontal="center" vertical="center"/>
    </xf>
    <xf numFmtId="41" fontId="48" fillId="6" borderId="5" xfId="15" applyNumberFormat="1" applyFont="1" applyFill="1" applyBorder="1" applyAlignment="1">
      <alignment horizontal="center" vertical="center"/>
    </xf>
    <xf numFmtId="41" fontId="45" fillId="6" borderId="5" xfId="15" applyNumberFormat="1" applyFont="1" applyFill="1" applyBorder="1" applyAlignment="1">
      <alignment horizontal="center" vertical="center"/>
    </xf>
    <xf numFmtId="9" fontId="38" fillId="6" borderId="5" xfId="15" applyNumberFormat="1" applyFont="1" applyFill="1" applyBorder="1" applyAlignment="1">
      <alignment horizontal="center" vertical="center"/>
    </xf>
    <xf numFmtId="0" fontId="46" fillId="0" borderId="5" xfId="1" applyFont="1" applyFill="1" applyBorder="1" applyAlignment="1">
      <alignment horizontal="center" vertical="center"/>
    </xf>
    <xf numFmtId="0" fontId="46" fillId="0" borderId="2" xfId="1" applyFont="1" applyFill="1" applyBorder="1" applyAlignment="1">
      <alignment horizontal="center" vertical="center"/>
    </xf>
    <xf numFmtId="0" fontId="45" fillId="9" borderId="1" xfId="1" applyFont="1" applyFill="1" applyBorder="1" applyAlignment="1">
      <alignment vertical="center"/>
    </xf>
    <xf numFmtId="44" fontId="38" fillId="9" borderId="1" xfId="14" applyFont="1" applyFill="1" applyBorder="1" applyAlignment="1">
      <alignment horizontal="center" vertical="center"/>
    </xf>
    <xf numFmtId="0" fontId="38" fillId="9" borderId="4" xfId="1" applyFont="1" applyFill="1" applyBorder="1" applyAlignment="1">
      <alignment horizontal="center" vertical="center"/>
    </xf>
    <xf numFmtId="41" fontId="48" fillId="9" borderId="5" xfId="15" applyNumberFormat="1" applyFont="1" applyFill="1" applyBorder="1" applyAlignment="1">
      <alignment horizontal="center" vertical="center"/>
    </xf>
    <xf numFmtId="41" fontId="45" fillId="9" borderId="5" xfId="15" applyNumberFormat="1" applyFont="1" applyFill="1" applyBorder="1" applyAlignment="1">
      <alignment horizontal="center" vertical="center"/>
    </xf>
    <xf numFmtId="9" fontId="38" fillId="9" borderId="5" xfId="15" applyNumberFormat="1" applyFont="1" applyFill="1" applyBorder="1" applyAlignment="1">
      <alignment horizontal="center" vertical="center"/>
    </xf>
    <xf numFmtId="0" fontId="46" fillId="9" borderId="5" xfId="1" applyFont="1" applyFill="1" applyBorder="1" applyAlignment="1">
      <alignment horizontal="center" vertical="center"/>
    </xf>
    <xf numFmtId="0" fontId="45" fillId="9" borderId="2" xfId="1" applyFont="1" applyFill="1" applyBorder="1" applyAlignment="1">
      <alignment vertical="center"/>
    </xf>
    <xf numFmtId="41" fontId="48" fillId="6" borderId="1" xfId="15" applyNumberFormat="1" applyFont="1" applyFill="1" applyBorder="1" applyAlignment="1">
      <alignment horizontal="center" vertical="center"/>
    </xf>
    <xf numFmtId="8" fontId="47" fillId="0" borderId="1" xfId="1" applyNumberFormat="1" applyFont="1" applyFill="1" applyBorder="1" applyAlignment="1">
      <alignment horizontal="center" vertical="center"/>
    </xf>
    <xf numFmtId="0" fontId="49" fillId="6" borderId="1" xfId="1" applyFont="1" applyFill="1" applyBorder="1" applyAlignment="1">
      <alignment horizontal="center" vertical="center" wrapText="1"/>
    </xf>
    <xf numFmtId="0" fontId="38" fillId="6" borderId="1" xfId="1" applyFont="1" applyFill="1" applyBorder="1" applyAlignment="1">
      <alignment horizontal="center" vertical="center" shrinkToFit="1"/>
    </xf>
    <xf numFmtId="0" fontId="45" fillId="10" borderId="2" xfId="1" applyFont="1" applyFill="1" applyBorder="1" applyAlignment="1">
      <alignment vertical="center"/>
    </xf>
    <xf numFmtId="44" fontId="45" fillId="10" borderId="4" xfId="14" applyFont="1" applyFill="1" applyBorder="1" applyAlignment="1">
      <alignment horizontal="center" vertical="center"/>
    </xf>
    <xf numFmtId="0" fontId="38" fillId="10" borderId="5" xfId="1" applyFont="1" applyFill="1" applyBorder="1" applyAlignment="1">
      <alignment horizontal="center" vertical="center"/>
    </xf>
    <xf numFmtId="41" fontId="45" fillId="10" borderId="5" xfId="15" applyNumberFormat="1" applyFont="1" applyFill="1" applyBorder="1" applyAlignment="1">
      <alignment horizontal="center" vertical="center"/>
    </xf>
    <xf numFmtId="9" fontId="38" fillId="10" borderId="5" xfId="15" applyNumberFormat="1" applyFont="1" applyFill="1" applyBorder="1" applyAlignment="1">
      <alignment horizontal="center" vertical="center"/>
    </xf>
    <xf numFmtId="0" fontId="46" fillId="10" borderId="5" xfId="1" applyFont="1" applyFill="1" applyBorder="1" applyAlignment="1">
      <alignment horizontal="center" vertical="center"/>
    </xf>
    <xf numFmtId="0" fontId="50" fillId="0" borderId="0" xfId="0" applyFont="1" applyFill="1"/>
    <xf numFmtId="0" fontId="50" fillId="0" borderId="1" xfId="1" applyFont="1" applyFill="1" applyBorder="1" applyAlignment="1">
      <alignment horizontal="center" vertical="center"/>
    </xf>
    <xf numFmtId="8" fontId="50" fillId="8" borderId="1" xfId="1" applyNumberFormat="1" applyFont="1" applyFill="1" applyBorder="1" applyAlignment="1">
      <alignment horizontal="center" vertical="center"/>
    </xf>
    <xf numFmtId="41" fontId="51" fillId="6" borderId="1" xfId="15" applyNumberFormat="1" applyFont="1" applyFill="1" applyBorder="1" applyAlignment="1">
      <alignment horizontal="center" vertical="center"/>
    </xf>
    <xf numFmtId="0" fontId="52" fillId="0" borderId="1" xfId="1" applyFont="1" applyFill="1" applyBorder="1" applyAlignment="1">
      <alignment horizontal="center" vertical="center"/>
    </xf>
    <xf numFmtId="0" fontId="50" fillId="0" borderId="1" xfId="1" applyFont="1" applyFill="1" applyBorder="1" applyAlignment="1">
      <alignment vertical="center"/>
    </xf>
    <xf numFmtId="0" fontId="47" fillId="0" borderId="1" xfId="1" applyFont="1" applyFill="1" applyBorder="1" applyAlignment="1">
      <alignment horizontal="center" vertical="center"/>
    </xf>
    <xf numFmtId="173" fontId="50" fillId="6" borderId="1" xfId="15" applyNumberFormat="1" applyFont="1" applyFill="1" applyBorder="1" applyAlignment="1">
      <alignment horizontal="center" vertical="center"/>
    </xf>
    <xf numFmtId="0" fontId="47" fillId="0" borderId="1" xfId="1" applyFont="1" applyFill="1" applyBorder="1" applyAlignment="1">
      <alignment vertical="center"/>
    </xf>
    <xf numFmtId="41" fontId="46" fillId="6" borderId="1" xfId="15" applyNumberFormat="1" applyFont="1" applyFill="1" applyBorder="1" applyAlignment="1">
      <alignment horizontal="center" vertical="center"/>
    </xf>
    <xf numFmtId="41" fontId="38" fillId="6" borderId="1" xfId="15" applyNumberFormat="1" applyFont="1" applyFill="1" applyBorder="1" applyAlignment="1">
      <alignment horizontal="center" vertical="center"/>
    </xf>
    <xf numFmtId="44" fontId="45" fillId="11" borderId="1" xfId="14" applyFont="1" applyFill="1" applyBorder="1" applyAlignment="1">
      <alignment horizontal="center" vertical="center"/>
    </xf>
    <xf numFmtId="0" fontId="48" fillId="11" borderId="1" xfId="1" applyFont="1" applyFill="1" applyBorder="1" applyAlignment="1">
      <alignment horizontal="center" vertical="center"/>
    </xf>
    <xf numFmtId="0" fontId="45" fillId="11" borderId="1" xfId="1" applyFont="1" applyFill="1" applyBorder="1" applyAlignment="1">
      <alignment horizontal="center" vertical="center"/>
    </xf>
    <xf numFmtId="9" fontId="45" fillId="11" borderId="1" xfId="15" applyFont="1" applyFill="1" applyBorder="1" applyAlignment="1">
      <alignment horizontal="center" vertical="center"/>
    </xf>
    <xf numFmtId="0" fontId="45" fillId="11" borderId="1" xfId="1" applyFont="1" applyFill="1" applyBorder="1" applyAlignment="1">
      <alignment vertical="center"/>
    </xf>
    <xf numFmtId="44" fontId="45" fillId="6" borderId="1" xfId="14" applyFont="1" applyFill="1" applyBorder="1" applyAlignment="1">
      <alignment horizontal="center" vertical="center"/>
    </xf>
    <xf numFmtId="44" fontId="38" fillId="6" borderId="1" xfId="14" applyFont="1" applyFill="1" applyBorder="1" applyAlignment="1">
      <alignment horizontal="center" vertical="center"/>
    </xf>
    <xf numFmtId="0" fontId="47" fillId="6" borderId="1" xfId="1" applyFont="1" applyFill="1" applyBorder="1" applyAlignment="1">
      <alignment horizontal="center" vertical="center"/>
    </xf>
    <xf numFmtId="0" fontId="38" fillId="6" borderId="1" xfId="1" applyFont="1" applyFill="1" applyBorder="1" applyAlignment="1">
      <alignment horizontal="center" vertical="center"/>
    </xf>
    <xf numFmtId="0" fontId="38" fillId="6" borderId="1" xfId="1" applyFont="1" applyFill="1" applyBorder="1" applyAlignment="1">
      <alignment vertical="center"/>
    </xf>
    <xf numFmtId="0" fontId="49" fillId="6" borderId="1" xfId="1" applyFont="1" applyFill="1" applyBorder="1" applyAlignment="1">
      <alignment horizontal="center" vertical="center"/>
    </xf>
    <xf numFmtId="0" fontId="53" fillId="6" borderId="1" xfId="1" applyFont="1" applyFill="1" applyBorder="1" applyAlignment="1">
      <alignment horizontal="center" vertical="center"/>
    </xf>
    <xf numFmtId="9" fontId="49" fillId="6" borderId="1" xfId="15" applyFont="1" applyFill="1" applyBorder="1" applyAlignment="1">
      <alignment horizontal="center" vertical="center" wrapText="1"/>
    </xf>
    <xf numFmtId="0" fontId="50" fillId="0" borderId="0" xfId="0" applyFont="1"/>
    <xf numFmtId="41" fontId="54" fillId="6" borderId="1" xfId="15" applyNumberFormat="1" applyFont="1" applyFill="1" applyBorder="1" applyAlignment="1">
      <alignment horizontal="center" vertical="center"/>
    </xf>
    <xf numFmtId="8" fontId="47" fillId="6" borderId="1" xfId="1" applyNumberFormat="1" applyFont="1" applyFill="1" applyBorder="1" applyAlignment="1">
      <alignment horizontal="center" vertical="center"/>
    </xf>
    <xf numFmtId="0" fontId="52" fillId="6" borderId="1" xfId="1" applyFont="1" applyFill="1" applyBorder="1" applyAlignment="1">
      <alignment horizontal="center" vertical="center"/>
    </xf>
    <xf numFmtId="0" fontId="50" fillId="6" borderId="1" xfId="1" applyFont="1" applyFill="1" applyBorder="1" applyAlignment="1">
      <alignment vertical="center"/>
    </xf>
    <xf numFmtId="8" fontId="55" fillId="6" borderId="1" xfId="1" applyNumberFormat="1" applyFont="1" applyFill="1" applyBorder="1" applyAlignment="1">
      <alignment horizontal="center" vertical="center"/>
    </xf>
    <xf numFmtId="0" fontId="50" fillId="6" borderId="1" xfId="1" applyFont="1" applyFill="1" applyBorder="1" applyAlignment="1">
      <alignment horizontal="center" vertical="center" shrinkToFit="1"/>
    </xf>
    <xf numFmtId="10" fontId="38" fillId="8" borderId="1" xfId="15" applyNumberFormat="1" applyFont="1" applyFill="1" applyBorder="1" applyAlignment="1">
      <alignment horizontal="center" vertical="center"/>
    </xf>
    <xf numFmtId="0" fontId="47" fillId="6" borderId="1" xfId="1" applyFont="1" applyFill="1" applyBorder="1" applyAlignment="1">
      <alignment vertical="center"/>
    </xf>
    <xf numFmtId="41" fontId="51" fillId="0" borderId="1" xfId="15" applyNumberFormat="1" applyFont="1" applyFill="1" applyBorder="1" applyAlignment="1">
      <alignment horizontal="center" vertical="center"/>
    </xf>
    <xf numFmtId="0" fontId="56" fillId="0" borderId="1" xfId="1" applyFont="1" applyFill="1" applyBorder="1" applyAlignment="1">
      <alignment horizontal="center" vertical="center"/>
    </xf>
    <xf numFmtId="9" fontId="38" fillId="6" borderId="1" xfId="15" applyFont="1" applyFill="1" applyBorder="1" applyAlignment="1">
      <alignment horizontal="center" vertical="center"/>
    </xf>
    <xf numFmtId="0" fontId="46" fillId="6" borderId="1" xfId="1" applyFont="1" applyFill="1" applyBorder="1" applyAlignment="1">
      <alignment horizontal="center" vertical="center"/>
    </xf>
    <xf numFmtId="0" fontId="50" fillId="6" borderId="1" xfId="1" applyFont="1" applyFill="1" applyBorder="1" applyAlignment="1">
      <alignment horizontal="center" vertical="center"/>
    </xf>
    <xf numFmtId="8" fontId="50" fillId="8" borderId="1" xfId="15" applyNumberFormat="1" applyFont="1" applyFill="1" applyBorder="1" applyAlignment="1">
      <alignment horizontal="center" vertical="center"/>
    </xf>
    <xf numFmtId="41" fontId="51" fillId="6" borderId="1" xfId="1" applyNumberFormat="1" applyFont="1" applyFill="1" applyBorder="1" applyAlignment="1">
      <alignment horizontal="center" vertical="center"/>
    </xf>
    <xf numFmtId="0" fontId="57" fillId="6" borderId="1" xfId="1" applyFont="1" applyFill="1" applyBorder="1" applyAlignment="1">
      <alignment horizontal="center" vertical="center"/>
    </xf>
    <xf numFmtId="41" fontId="45" fillId="6" borderId="1" xfId="15" applyNumberFormat="1" applyFont="1" applyFill="1" applyBorder="1" applyAlignment="1">
      <alignment vertical="center"/>
    </xf>
    <xf numFmtId="0" fontId="58" fillId="6" borderId="1" xfId="1" applyFont="1" applyFill="1" applyBorder="1" applyAlignment="1">
      <alignment horizontal="center" vertical="center"/>
    </xf>
    <xf numFmtId="44" fontId="38" fillId="6" borderId="6" xfId="14" applyFont="1" applyFill="1" applyBorder="1" applyAlignment="1">
      <alignment horizontal="center" vertical="center"/>
    </xf>
    <xf numFmtId="0" fontId="50" fillId="6" borderId="6" xfId="1" applyFont="1" applyFill="1" applyBorder="1" applyAlignment="1">
      <alignment horizontal="center" vertical="center"/>
    </xf>
    <xf numFmtId="41" fontId="51" fillId="6" borderId="6" xfId="15" applyNumberFormat="1" applyFont="1" applyFill="1" applyBorder="1" applyAlignment="1">
      <alignment vertical="center"/>
    </xf>
    <xf numFmtId="9" fontId="50" fillId="6" borderId="6" xfId="15" applyFont="1" applyFill="1" applyBorder="1" applyAlignment="1">
      <alignment horizontal="center" vertical="center"/>
    </xf>
    <xf numFmtId="0" fontId="57" fillId="6" borderId="6" xfId="1" applyFont="1" applyFill="1" applyBorder="1" applyAlignment="1">
      <alignment horizontal="center" vertical="center"/>
    </xf>
    <xf numFmtId="0" fontId="38" fillId="8" borderId="0" xfId="0" applyFont="1" applyFill="1"/>
    <xf numFmtId="44" fontId="38" fillId="8" borderId="1" xfId="14" applyFont="1" applyFill="1" applyBorder="1" applyAlignment="1">
      <alignment horizontal="center" vertical="center"/>
    </xf>
    <xf numFmtId="0" fontId="47" fillId="8" borderId="1" xfId="1" applyFont="1" applyFill="1" applyBorder="1" applyAlignment="1">
      <alignment horizontal="center" vertical="center"/>
    </xf>
    <xf numFmtId="8" fontId="59" fillId="8" borderId="1" xfId="15" applyNumberFormat="1" applyFont="1" applyFill="1" applyBorder="1" applyAlignment="1">
      <alignment horizontal="center" vertical="center"/>
    </xf>
    <xf numFmtId="41" fontId="60" fillId="8" borderId="1" xfId="15" applyNumberFormat="1" applyFont="1" applyFill="1" applyBorder="1" applyAlignment="1">
      <alignment horizontal="center" vertical="center"/>
    </xf>
    <xf numFmtId="10" fontId="60" fillId="8" borderId="1" xfId="15" applyNumberFormat="1" applyFont="1" applyFill="1" applyBorder="1" applyAlignment="1">
      <alignment horizontal="center" vertical="center"/>
    </xf>
    <xf numFmtId="0" fontId="58" fillId="8" borderId="1" xfId="1" applyFont="1" applyFill="1" applyBorder="1" applyAlignment="1">
      <alignment horizontal="center" vertical="center"/>
    </xf>
    <xf numFmtId="0" fontId="49" fillId="8" borderId="1" xfId="1" applyFont="1" applyFill="1" applyBorder="1" applyAlignment="1">
      <alignment horizontal="center" vertical="center" wrapText="1"/>
    </xf>
    <xf numFmtId="0" fontId="47" fillId="8" borderId="1" xfId="1" applyFont="1" applyFill="1" applyBorder="1" applyAlignment="1">
      <alignment vertical="center"/>
    </xf>
    <xf numFmtId="44" fontId="38" fillId="0" borderId="7" xfId="14" applyFont="1" applyFill="1" applyBorder="1" applyAlignment="1">
      <alignment horizontal="center" vertical="center"/>
    </xf>
    <xf numFmtId="0" fontId="50" fillId="0" borderId="7" xfId="1" applyFont="1" applyFill="1" applyBorder="1" applyAlignment="1">
      <alignment horizontal="center" vertical="center"/>
    </xf>
    <xf numFmtId="41" fontId="51" fillId="0" borderId="7" xfId="15" applyNumberFormat="1" applyFont="1" applyFill="1" applyBorder="1" applyAlignment="1">
      <alignment horizontal="center" vertical="center"/>
    </xf>
    <xf numFmtId="174" fontId="50" fillId="8" borderId="7" xfId="15" applyNumberFormat="1" applyFont="1" applyFill="1" applyBorder="1" applyAlignment="1">
      <alignment horizontal="center" vertical="center"/>
    </xf>
    <xf numFmtId="0" fontId="52" fillId="0" borderId="7" xfId="1" applyFont="1" applyFill="1" applyBorder="1" applyAlignment="1">
      <alignment horizontal="center" vertical="center"/>
    </xf>
    <xf numFmtId="0" fontId="50" fillId="0" borderId="7" xfId="1" applyFont="1" applyFill="1" applyBorder="1" applyAlignment="1">
      <alignment vertical="center"/>
    </xf>
    <xf numFmtId="41" fontId="50" fillId="6" borderId="1" xfId="15" applyNumberFormat="1" applyFont="1" applyFill="1" applyBorder="1" applyAlignment="1">
      <alignment horizontal="center" vertical="center"/>
    </xf>
    <xf numFmtId="41" fontId="51" fillId="8" borderId="1" xfId="15" applyNumberFormat="1" applyFont="1" applyFill="1" applyBorder="1" applyAlignment="1">
      <alignment horizontal="center" vertical="center"/>
    </xf>
    <xf numFmtId="9" fontId="50" fillId="6" borderId="1" xfId="15" applyNumberFormat="1" applyFont="1" applyFill="1" applyBorder="1" applyAlignment="1">
      <alignment horizontal="center" vertical="center"/>
    </xf>
    <xf numFmtId="9" fontId="50" fillId="8" borderId="1" xfId="15" applyNumberFormat="1" applyFont="1" applyFill="1" applyBorder="1" applyAlignment="1">
      <alignment horizontal="center" vertical="center"/>
    </xf>
    <xf numFmtId="173" fontId="50" fillId="8" borderId="1" xfId="15" applyNumberFormat="1" applyFont="1" applyFill="1" applyBorder="1" applyAlignment="1">
      <alignment horizontal="center" vertical="center"/>
    </xf>
    <xf numFmtId="41" fontId="38" fillId="0" borderId="0" xfId="0" applyNumberFormat="1" applyFont="1"/>
    <xf numFmtId="41" fontId="45" fillId="6" borderId="1" xfId="14" applyNumberFormat="1" applyFont="1" applyFill="1" applyBorder="1" applyAlignment="1">
      <alignment horizontal="center" vertical="center"/>
    </xf>
    <xf numFmtId="41" fontId="45" fillId="6" borderId="1" xfId="1" applyNumberFormat="1" applyFont="1" applyFill="1" applyBorder="1" applyAlignment="1">
      <alignment horizontal="center" vertical="center"/>
    </xf>
    <xf numFmtId="41" fontId="38" fillId="6" borderId="1" xfId="1" applyNumberFormat="1" applyFont="1" applyFill="1" applyBorder="1" applyAlignment="1">
      <alignment vertical="center"/>
    </xf>
    <xf numFmtId="44" fontId="38" fillId="0" borderId="0" xfId="0" applyNumberFormat="1" applyFont="1"/>
    <xf numFmtId="44" fontId="61" fillId="0" borderId="4" xfId="1" applyNumberFormat="1" applyFont="1" applyFill="1" applyBorder="1" applyAlignment="1">
      <alignment horizontal="center" vertical="center"/>
    </xf>
    <xf numFmtId="0" fontId="61" fillId="0" borderId="5" xfId="1" applyFont="1" applyFill="1" applyBorder="1" applyAlignment="1">
      <alignment horizontal="center" vertical="center" wrapText="1"/>
    </xf>
    <xf numFmtId="0" fontId="61" fillId="0" borderId="2" xfId="1" applyFont="1" applyFill="1" applyBorder="1" applyAlignment="1">
      <alignment horizontal="center" vertical="center" wrapText="1"/>
    </xf>
    <xf numFmtId="0" fontId="45" fillId="12" borderId="1" xfId="1" applyFont="1" applyFill="1" applyBorder="1" applyAlignment="1">
      <alignment horizontal="left" vertical="center"/>
    </xf>
    <xf numFmtId="0" fontId="61" fillId="7" borderId="1" xfId="1" applyFont="1" applyFill="1" applyBorder="1" applyAlignment="1">
      <alignment horizontal="center" vertical="center" wrapText="1"/>
    </xf>
    <xf numFmtId="49" fontId="45" fillId="6" borderId="0" xfId="1" applyNumberFormat="1" applyFont="1" applyFill="1" applyBorder="1" applyAlignment="1">
      <alignment horizontal="center" vertical="center"/>
    </xf>
    <xf numFmtId="49" fontId="45" fillId="6" borderId="0" xfId="1" applyNumberFormat="1" applyFont="1" applyFill="1" applyBorder="1" applyAlignment="1">
      <alignment vertical="center"/>
    </xf>
    <xf numFmtId="0" fontId="38" fillId="0" borderId="0" xfId="0" applyFont="1" applyAlignment="1">
      <alignment horizontal="center"/>
    </xf>
    <xf numFmtId="0" fontId="45" fillId="6" borderId="0" xfId="1" applyFont="1" applyFill="1" applyBorder="1" applyAlignment="1">
      <alignment vertical="center"/>
    </xf>
    <xf numFmtId="0" fontId="62" fillId="13" borderId="0" xfId="1" applyFont="1" applyFill="1" applyBorder="1" applyAlignment="1">
      <alignment vertical="center"/>
    </xf>
    <xf numFmtId="0" fontId="63" fillId="6" borderId="0" xfId="1" applyFont="1" applyFill="1" applyBorder="1" applyAlignment="1">
      <alignment vertical="center"/>
    </xf>
    <xf numFmtId="0" fontId="45" fillId="6" borderId="0" xfId="1" applyFont="1" applyFill="1" applyBorder="1" applyAlignment="1">
      <alignment horizontal="right" vertical="center"/>
    </xf>
    <xf numFmtId="0" fontId="63" fillId="0" borderId="0" xfId="0" applyFont="1" applyBorder="1"/>
    <xf numFmtId="0" fontId="65" fillId="8" borderId="0" xfId="1" applyFont="1" applyFill="1" applyBorder="1" applyAlignment="1">
      <alignment vertical="center"/>
    </xf>
    <xf numFmtId="0" fontId="66" fillId="8" borderId="0" xfId="1" applyFont="1" applyFill="1" applyBorder="1" applyAlignment="1">
      <alignment vertical="center"/>
    </xf>
    <xf numFmtId="0" fontId="67" fillId="0" borderId="0" xfId="0" applyFont="1"/>
    <xf numFmtId="0" fontId="68" fillId="0" borderId="0" xfId="0" applyFont="1"/>
    <xf numFmtId="0" fontId="69" fillId="8" borderId="0" xfId="1" applyFont="1" applyFill="1" applyBorder="1" applyAlignment="1">
      <alignment vertical="center"/>
    </xf>
    <xf numFmtId="0" fontId="69" fillId="8" borderId="0" xfId="1" applyFont="1" applyFill="1" applyBorder="1" applyAlignment="1">
      <alignment horizontal="right" vertical="center"/>
    </xf>
    <xf numFmtId="0" fontId="43" fillId="0" borderId="0" xfId="0" applyFont="1"/>
    <xf numFmtId="49" fontId="69" fillId="8" borderId="0" xfId="1" applyNumberFormat="1" applyFont="1" applyFill="1" applyBorder="1" applyAlignment="1">
      <alignment horizontal="center" vertical="center"/>
    </xf>
    <xf numFmtId="49" fontId="69" fillId="8" borderId="0" xfId="1" applyNumberFormat="1" applyFont="1" applyFill="1" applyBorder="1" applyAlignment="1">
      <alignment vertical="center"/>
    </xf>
    <xf numFmtId="49" fontId="69" fillId="8" borderId="0" xfId="1" applyNumberFormat="1" applyFont="1" applyFill="1" applyBorder="1" applyAlignment="1">
      <alignment horizontal="center" vertical="center"/>
    </xf>
    <xf numFmtId="0" fontId="70" fillId="14" borderId="1" xfId="1" applyFont="1" applyFill="1" applyBorder="1" applyAlignment="1">
      <alignment horizontal="center" vertical="center"/>
    </xf>
    <xf numFmtId="0" fontId="37" fillId="0" borderId="0" xfId="0" applyFont="1"/>
    <xf numFmtId="0" fontId="70" fillId="14" borderId="1" xfId="1" applyFont="1" applyFill="1" applyBorder="1" applyAlignment="1">
      <alignment horizontal="center" vertical="center" wrapText="1"/>
    </xf>
    <xf numFmtId="0" fontId="36" fillId="15" borderId="1" xfId="1" applyFont="1" applyFill="1" applyBorder="1" applyAlignment="1">
      <alignment vertical="center"/>
    </xf>
    <xf numFmtId="0" fontId="36" fillId="15" borderId="1" xfId="1" applyFont="1" applyFill="1" applyBorder="1" applyAlignment="1">
      <alignment horizontal="center" vertical="center"/>
    </xf>
    <xf numFmtId="44" fontId="36" fillId="15" borderId="1" xfId="32" applyFont="1" applyFill="1" applyBorder="1" applyAlignment="1">
      <alignment horizontal="center" vertical="center"/>
    </xf>
    <xf numFmtId="44" fontId="0" fillId="0" borderId="0" xfId="0" applyNumberFormat="1"/>
    <xf numFmtId="0" fontId="1" fillId="8" borderId="1" xfId="1" applyFont="1" applyFill="1" applyBorder="1" applyAlignment="1">
      <alignment vertical="center"/>
    </xf>
    <xf numFmtId="0" fontId="36" fillId="8" borderId="1" xfId="1" applyFont="1" applyFill="1" applyBorder="1" applyAlignment="1">
      <alignment horizontal="center" vertical="center"/>
    </xf>
    <xf numFmtId="9" fontId="36" fillId="8" borderId="1" xfId="33" applyFont="1" applyFill="1" applyBorder="1" applyAlignment="1">
      <alignment horizontal="center" vertical="center"/>
    </xf>
    <xf numFmtId="44" fontId="36" fillId="8" borderId="1" xfId="32" applyFont="1" applyFill="1" applyBorder="1" applyAlignment="1">
      <alignment horizontal="center" vertical="center"/>
    </xf>
    <xf numFmtId="9" fontId="36" fillId="15" borderId="1" xfId="33" applyFont="1" applyFill="1" applyBorder="1" applyAlignment="1">
      <alignment horizontal="center" vertical="center"/>
    </xf>
    <xf numFmtId="0" fontId="71" fillId="8" borderId="1" xfId="1" applyFont="1" applyFill="1" applyBorder="1" applyAlignment="1">
      <alignment vertical="center"/>
    </xf>
    <xf numFmtId="10" fontId="1" fillId="8" borderId="1" xfId="12" applyNumberFormat="1" applyFont="1" applyFill="1" applyBorder="1" applyAlignment="1" applyProtection="1">
      <alignment horizontal="center" vertical="center"/>
      <protection locked="0"/>
    </xf>
    <xf numFmtId="10" fontId="1" fillId="0" borderId="1" xfId="12" applyNumberFormat="1" applyFont="1" applyFill="1" applyBorder="1" applyAlignment="1" applyProtection="1">
      <alignment horizontal="center" vertical="center"/>
      <protection locked="0"/>
    </xf>
    <xf numFmtId="0" fontId="72" fillId="8" borderId="1" xfId="1" applyFont="1" applyFill="1" applyBorder="1" applyAlignment="1">
      <alignment horizontal="center" vertical="center"/>
    </xf>
    <xf numFmtId="9" fontId="1" fillId="8" borderId="1" xfId="12" applyFont="1" applyFill="1" applyBorder="1" applyAlignment="1" applyProtection="1">
      <alignment horizontal="center" vertical="center"/>
      <protection locked="0"/>
    </xf>
    <xf numFmtId="9" fontId="1" fillId="8" borderId="1" xfId="33" applyFont="1" applyFill="1" applyBorder="1" applyAlignment="1">
      <alignment horizontal="center" vertical="center"/>
    </xf>
    <xf numFmtId="174" fontId="1" fillId="8" borderId="1" xfId="12" applyNumberFormat="1" applyFont="1" applyFill="1" applyBorder="1" applyAlignment="1" applyProtection="1">
      <alignment horizontal="center" vertical="center"/>
      <protection locked="0"/>
    </xf>
    <xf numFmtId="0" fontId="67" fillId="0" borderId="1" xfId="0" applyFont="1" applyBorder="1"/>
    <xf numFmtId="44" fontId="1" fillId="0" borderId="1" xfId="32" applyFont="1" applyFill="1" applyBorder="1" applyAlignment="1">
      <alignment horizontal="center" vertical="center"/>
    </xf>
    <xf numFmtId="9" fontId="1" fillId="0" borderId="1" xfId="12" applyFont="1" applyFill="1" applyBorder="1" applyAlignment="1" applyProtection="1">
      <alignment horizontal="center" vertical="center"/>
      <protection locked="0"/>
    </xf>
    <xf numFmtId="175" fontId="1" fillId="0" borderId="1" xfId="12" applyNumberFormat="1" applyFont="1" applyFill="1" applyBorder="1" applyAlignment="1" applyProtection="1">
      <alignment horizontal="center" vertical="center"/>
      <protection locked="0"/>
    </xf>
    <xf numFmtId="44" fontId="1" fillId="8" borderId="1" xfId="32" applyFont="1" applyFill="1" applyBorder="1" applyAlignment="1">
      <alignment horizontal="center" vertical="center"/>
    </xf>
    <xf numFmtId="0" fontId="69" fillId="15" borderId="1" xfId="1" applyFont="1" applyFill="1" applyBorder="1" applyAlignment="1">
      <alignment vertical="center"/>
    </xf>
    <xf numFmtId="0" fontId="69" fillId="15" borderId="1" xfId="1" applyFont="1" applyFill="1" applyBorder="1" applyAlignment="1">
      <alignment horizontal="center" vertical="center"/>
    </xf>
    <xf numFmtId="9" fontId="69" fillId="15" borderId="1" xfId="33" applyFont="1" applyFill="1" applyBorder="1" applyAlignment="1">
      <alignment horizontal="center" vertical="center"/>
    </xf>
    <xf numFmtId="0" fontId="73" fillId="15" borderId="1" xfId="1" applyFont="1" applyFill="1" applyBorder="1" applyAlignment="1">
      <alignment horizontal="center" vertical="center"/>
    </xf>
    <xf numFmtId="44" fontId="69" fillId="15" borderId="1" xfId="32" applyFont="1" applyFill="1" applyBorder="1" applyAlignment="1">
      <alignment horizontal="center" vertical="center"/>
    </xf>
    <xf numFmtId="0" fontId="67" fillId="0" borderId="1" xfId="11" applyFont="1" applyFill="1" applyBorder="1" applyProtection="1"/>
    <xf numFmtId="0" fontId="1" fillId="8" borderId="1" xfId="11" applyFont="1" applyFill="1" applyBorder="1" applyAlignment="1" applyProtection="1">
      <alignment horizontal="left" vertical="center"/>
      <protection locked="0"/>
    </xf>
    <xf numFmtId="9" fontId="69" fillId="8" borderId="1" xfId="33" applyFont="1" applyFill="1" applyBorder="1" applyAlignment="1">
      <alignment horizontal="center" vertical="center"/>
    </xf>
    <xf numFmtId="0" fontId="69" fillId="8" borderId="1" xfId="1" applyFont="1" applyFill="1" applyBorder="1" applyAlignment="1">
      <alignment horizontal="center" vertical="center"/>
    </xf>
    <xf numFmtId="0" fontId="73" fillId="8" borderId="1" xfId="1" applyFont="1" applyFill="1" applyBorder="1" applyAlignment="1">
      <alignment horizontal="center" vertical="center"/>
    </xf>
    <xf numFmtId="44" fontId="69" fillId="8" borderId="1" xfId="32" applyFont="1" applyFill="1" applyBorder="1" applyAlignment="1">
      <alignment horizontal="center" vertical="center"/>
    </xf>
    <xf numFmtId="0" fontId="72" fillId="15" borderId="1" xfId="1" applyFont="1" applyFill="1" applyBorder="1" applyAlignment="1">
      <alignment horizontal="center" vertical="center"/>
    </xf>
    <xf numFmtId="0" fontId="1" fillId="0" borderId="1" xfId="11" applyFont="1" applyFill="1" applyBorder="1" applyProtection="1"/>
    <xf numFmtId="0" fontId="1" fillId="8" borderId="1" xfId="11" applyFont="1" applyFill="1" applyBorder="1" applyAlignment="1" applyProtection="1">
      <alignment horizontal="center" vertical="center"/>
      <protection locked="0"/>
    </xf>
    <xf numFmtId="43" fontId="1" fillId="8" borderId="1" xfId="31" applyFont="1" applyFill="1" applyBorder="1" applyAlignment="1">
      <alignment horizontal="center" vertical="center"/>
    </xf>
    <xf numFmtId="43" fontId="1" fillId="8" borderId="1" xfId="31" applyFont="1" applyFill="1" applyBorder="1" applyAlignment="1">
      <alignment horizontal="right" vertical="center"/>
    </xf>
    <xf numFmtId="0" fontId="1" fillId="8" borderId="1" xfId="1" applyFont="1" applyFill="1" applyBorder="1" applyAlignment="1">
      <alignment horizontal="right" vertical="center"/>
    </xf>
    <xf numFmtId="0" fontId="1" fillId="8" borderId="1" xfId="11" applyFont="1" applyFill="1" applyBorder="1" applyProtection="1"/>
    <xf numFmtId="0" fontId="1" fillId="8" borderId="1" xfId="1" applyFont="1" applyFill="1" applyBorder="1" applyAlignment="1" applyProtection="1">
      <alignment horizontal="center" vertical="center"/>
      <protection locked="0"/>
    </xf>
    <xf numFmtId="0" fontId="1" fillId="0" borderId="1" xfId="1" applyFont="1" applyFill="1" applyBorder="1" applyAlignment="1" applyProtection="1">
      <alignment horizontal="center" vertical="center"/>
      <protection locked="0"/>
    </xf>
    <xf numFmtId="0" fontId="1" fillId="8" borderId="1" xfId="1" applyFont="1" applyFill="1" applyBorder="1" applyAlignment="1">
      <alignment horizontal="left" vertical="center"/>
    </xf>
    <xf numFmtId="0" fontId="1" fillId="0" borderId="1" xfId="11" applyFont="1" applyFill="1" applyBorder="1" applyAlignment="1" applyProtection="1">
      <alignment horizontal="center" vertical="center"/>
      <protection locked="0"/>
    </xf>
    <xf numFmtId="0" fontId="67" fillId="8" borderId="1" xfId="1" applyFont="1" applyFill="1" applyBorder="1" applyAlignment="1">
      <alignment vertical="center"/>
    </xf>
    <xf numFmtId="0" fontId="67" fillId="8" borderId="1" xfId="1" applyFont="1" applyFill="1" applyBorder="1" applyAlignment="1">
      <alignment horizontal="center" vertical="center"/>
    </xf>
    <xf numFmtId="0" fontId="1" fillId="0" borderId="1" xfId="1" applyFont="1" applyFill="1" applyBorder="1" applyAlignment="1">
      <alignment vertical="center"/>
    </xf>
    <xf numFmtId="0" fontId="71" fillId="0" borderId="1" xfId="1" applyFont="1" applyFill="1" applyBorder="1" applyAlignment="1">
      <alignment vertical="center"/>
    </xf>
    <xf numFmtId="0" fontId="1" fillId="0" borderId="1" xfId="1" applyFont="1" applyFill="1" applyBorder="1" applyAlignment="1">
      <alignment horizontal="center" vertical="center"/>
    </xf>
    <xf numFmtId="9" fontId="36" fillId="0" borderId="1" xfId="33" applyFont="1" applyFill="1" applyBorder="1" applyAlignment="1">
      <alignment horizontal="center" vertical="center"/>
    </xf>
    <xf numFmtId="0" fontId="36" fillId="0" borderId="1" xfId="1" applyFont="1" applyFill="1" applyBorder="1" applyAlignment="1">
      <alignment horizontal="center" vertical="center"/>
    </xf>
    <xf numFmtId="0" fontId="72" fillId="0" borderId="1" xfId="1" applyFont="1" applyFill="1" applyBorder="1" applyAlignment="1">
      <alignment horizontal="center" vertical="center"/>
    </xf>
    <xf numFmtId="0" fontId="0" fillId="0" borderId="0" xfId="0" applyFill="1"/>
    <xf numFmtId="44" fontId="1" fillId="0" borderId="1" xfId="32" applyFont="1" applyFill="1" applyBorder="1" applyAlignment="1">
      <alignment horizontal="right" vertical="center"/>
    </xf>
    <xf numFmtId="0" fontId="35" fillId="14" borderId="1" xfId="1" applyFont="1" applyFill="1" applyBorder="1" applyAlignment="1">
      <alignment horizontal="left" vertical="center"/>
    </xf>
    <xf numFmtId="0" fontId="35" fillId="14" borderId="1" xfId="1" applyFont="1" applyFill="1" applyBorder="1" applyAlignment="1">
      <alignment horizontal="center" vertical="center"/>
    </xf>
    <xf numFmtId="9" fontId="35" fillId="14" borderId="1" xfId="33" applyFont="1" applyFill="1" applyBorder="1" applyAlignment="1">
      <alignment horizontal="center" vertical="center"/>
    </xf>
    <xf numFmtId="44" fontId="69" fillId="16" borderId="1" xfId="32" applyFont="1" applyFill="1" applyBorder="1" applyAlignment="1">
      <alignment horizontal="center" vertical="center"/>
    </xf>
    <xf numFmtId="0" fontId="1" fillId="8" borderId="0" xfId="1" applyFont="1" applyFill="1" applyBorder="1" applyAlignment="1">
      <alignment horizontal="left" vertical="center"/>
    </xf>
    <xf numFmtId="0" fontId="1" fillId="8" borderId="0" xfId="1" applyFont="1" applyFill="1" applyBorder="1" applyAlignment="1">
      <alignment vertical="center"/>
    </xf>
    <xf numFmtId="0" fontId="75" fillId="8" borderId="0" xfId="1" applyFont="1" applyFill="1" applyBorder="1" applyAlignment="1">
      <alignment vertical="center"/>
    </xf>
    <xf numFmtId="0" fontId="76" fillId="0" borderId="0" xfId="0" applyFont="1"/>
    <xf numFmtId="0" fontId="76" fillId="0" borderId="0" xfId="0" applyFont="1" applyAlignment="1">
      <alignment horizontal="center"/>
    </xf>
    <xf numFmtId="44" fontId="72" fillId="15" borderId="1" xfId="32" applyFont="1" applyFill="1" applyBorder="1" applyAlignment="1">
      <alignment horizontal="center" vertical="center"/>
    </xf>
    <xf numFmtId="173" fontId="36" fillId="8" borderId="1" xfId="33" applyNumberFormat="1" applyFont="1" applyFill="1" applyBorder="1" applyAlignment="1">
      <alignment horizontal="center" vertical="center"/>
    </xf>
    <xf numFmtId="44" fontId="73" fillId="15" borderId="1" xfId="32" applyFont="1" applyFill="1" applyBorder="1" applyAlignment="1">
      <alignment horizontal="center" vertical="center"/>
    </xf>
    <xf numFmtId="176" fontId="0" fillId="0" borderId="3" xfId="0" applyNumberFormat="1" applyBorder="1"/>
    <xf numFmtId="44" fontId="73" fillId="8" borderId="1" xfId="32" applyFont="1" applyFill="1" applyBorder="1" applyAlignment="1">
      <alignment horizontal="center" vertical="center"/>
    </xf>
    <xf numFmtId="176" fontId="77" fillId="0" borderId="3" xfId="0" applyNumberFormat="1" applyFont="1" applyBorder="1" applyAlignment="1" applyProtection="1">
      <alignment horizontal="left"/>
    </xf>
    <xf numFmtId="0" fontId="36" fillId="8" borderId="1" xfId="1" applyFont="1" applyFill="1" applyBorder="1" applyAlignment="1">
      <alignment vertical="center"/>
    </xf>
    <xf numFmtId="44" fontId="70" fillId="14" borderId="1" xfId="32" applyFont="1" applyFill="1" applyBorder="1" applyAlignment="1">
      <alignment horizontal="center" vertical="center"/>
    </xf>
    <xf numFmtId="0" fontId="78" fillId="0" borderId="0" xfId="0" applyFont="1"/>
    <xf numFmtId="0" fontId="79" fillId="0" borderId="0" xfId="0" applyFont="1"/>
    <xf numFmtId="44" fontId="72" fillId="0" borderId="1" xfId="32" applyFont="1" applyFill="1" applyBorder="1" applyAlignment="1">
      <alignment horizontal="center" vertical="center"/>
    </xf>
    <xf numFmtId="44" fontId="36" fillId="0" borderId="1" xfId="32" applyFont="1" applyFill="1" applyBorder="1" applyAlignment="1">
      <alignment horizontal="center" vertical="center"/>
    </xf>
    <xf numFmtId="8" fontId="36" fillId="15" borderId="1" xfId="32" applyNumberFormat="1" applyFont="1" applyFill="1" applyBorder="1" applyAlignment="1">
      <alignment horizontal="center" vertical="center"/>
    </xf>
    <xf numFmtId="0" fontId="1" fillId="8" borderId="1" xfId="1" applyFont="1" applyFill="1" applyBorder="1" applyAlignment="1">
      <alignment horizontal="center" vertical="center"/>
    </xf>
    <xf numFmtId="173" fontId="1" fillId="0" borderId="1" xfId="33" applyNumberFormat="1" applyFont="1" applyFill="1" applyBorder="1" applyAlignment="1">
      <alignment horizontal="center" vertical="center"/>
    </xf>
    <xf numFmtId="9" fontId="1" fillId="0" borderId="1" xfId="33" applyFont="1" applyFill="1" applyBorder="1" applyAlignment="1">
      <alignment horizontal="center" vertical="center"/>
    </xf>
    <xf numFmtId="8" fontId="1" fillId="8" borderId="1" xfId="32" applyNumberFormat="1" applyFont="1" applyFill="1" applyBorder="1" applyAlignment="1">
      <alignment horizontal="center" vertical="center"/>
    </xf>
    <xf numFmtId="10" fontId="1" fillId="0" borderId="1" xfId="33" applyNumberFormat="1" applyFont="1" applyFill="1" applyBorder="1" applyAlignment="1">
      <alignment horizontal="center" vertical="center"/>
    </xf>
    <xf numFmtId="6" fontId="1" fillId="0" borderId="1" xfId="1" applyNumberFormat="1" applyFont="1" applyFill="1" applyBorder="1" applyAlignment="1">
      <alignment horizontal="center" vertical="center"/>
    </xf>
    <xf numFmtId="8" fontId="1" fillId="0" borderId="1" xfId="32" applyNumberFormat="1" applyFont="1" applyFill="1" applyBorder="1" applyAlignment="1">
      <alignment horizontal="center" vertical="center"/>
    </xf>
    <xf numFmtId="8" fontId="69" fillId="15" borderId="1" xfId="32" applyNumberFormat="1" applyFont="1" applyFill="1" applyBorder="1" applyAlignment="1">
      <alignment horizontal="center" vertical="center"/>
    </xf>
    <xf numFmtId="9" fontId="67" fillId="8" borderId="1" xfId="33" applyFont="1" applyFill="1" applyBorder="1" applyAlignment="1">
      <alignment horizontal="center" vertical="center"/>
    </xf>
    <xf numFmtId="8" fontId="67" fillId="8" borderId="1" xfId="32" applyNumberFormat="1" applyFont="1" applyFill="1" applyBorder="1" applyAlignment="1">
      <alignment horizontal="center" vertical="center"/>
    </xf>
    <xf numFmtId="6" fontId="1" fillId="8" borderId="1" xfId="1" applyNumberFormat="1" applyFont="1" applyFill="1" applyBorder="1" applyAlignment="1">
      <alignment horizontal="center" vertical="center"/>
    </xf>
    <xf numFmtId="0" fontId="69" fillId="8" borderId="1" xfId="1" applyFont="1" applyFill="1" applyBorder="1" applyAlignment="1">
      <alignment vertical="center"/>
    </xf>
    <xf numFmtId="9" fontId="1" fillId="0" borderId="1" xfId="1" applyNumberFormat="1" applyFont="1" applyFill="1" applyBorder="1" applyAlignment="1">
      <alignment horizontal="center" vertical="center"/>
    </xf>
    <xf numFmtId="44" fontId="35" fillId="14" borderId="1" xfId="32" applyFont="1" applyFill="1" applyBorder="1" applyAlignment="1">
      <alignment horizontal="center" vertical="center"/>
    </xf>
    <xf numFmtId="0" fontId="80" fillId="0" borderId="0" xfId="0" applyFont="1" applyFill="1"/>
    <xf numFmtId="0" fontId="3" fillId="8" borderId="0" xfId="1" applyFont="1" applyFill="1" applyBorder="1" applyAlignment="1">
      <alignment vertical="center"/>
    </xf>
    <xf numFmtId="0" fontId="3" fillId="0" borderId="0" xfId="0" applyFont="1" applyFill="1"/>
    <xf numFmtId="3" fontId="36" fillId="15" borderId="1" xfId="1" applyNumberFormat="1" applyFont="1" applyFill="1" applyBorder="1" applyAlignment="1">
      <alignment horizontal="right" vertical="center"/>
    </xf>
    <xf numFmtId="3" fontId="36" fillId="8" borderId="1" xfId="1" applyNumberFormat="1" applyFont="1" applyFill="1" applyBorder="1" applyAlignment="1">
      <alignment horizontal="right" vertical="center"/>
    </xf>
    <xf numFmtId="0" fontId="81" fillId="0" borderId="1" xfId="0" applyFont="1" applyBorder="1" applyAlignment="1">
      <alignment vertical="center"/>
    </xf>
    <xf numFmtId="9" fontId="81" fillId="0" borderId="1" xfId="33" applyFont="1" applyFill="1" applyBorder="1" applyAlignment="1">
      <alignment vertical="center"/>
    </xf>
    <xf numFmtId="9" fontId="36" fillId="0" borderId="1" xfId="33" applyNumberFormat="1" applyFont="1" applyFill="1" applyBorder="1" applyAlignment="1">
      <alignment horizontal="center" vertical="center"/>
    </xf>
    <xf numFmtId="173" fontId="36" fillId="0" borderId="1" xfId="33" applyNumberFormat="1" applyFont="1" applyFill="1" applyBorder="1" applyAlignment="1">
      <alignment horizontal="center" vertical="center"/>
    </xf>
    <xf numFmtId="3" fontId="81" fillId="0" borderId="1" xfId="0" applyNumberFormat="1" applyFont="1" applyFill="1" applyBorder="1" applyAlignment="1">
      <alignment horizontal="right" vertical="center"/>
    </xf>
    <xf numFmtId="0" fontId="81" fillId="0" borderId="1" xfId="0" applyFont="1" applyFill="1" applyBorder="1" applyAlignment="1">
      <alignment vertical="center"/>
    </xf>
    <xf numFmtId="3" fontId="81" fillId="0" borderId="1" xfId="32" applyNumberFormat="1" applyFont="1" applyFill="1" applyBorder="1" applyAlignment="1">
      <alignment horizontal="right" vertical="center"/>
    </xf>
    <xf numFmtId="177" fontId="81" fillId="0" borderId="1" xfId="31" applyNumberFormat="1" applyFont="1" applyFill="1" applyBorder="1" applyAlignment="1">
      <alignment vertical="center"/>
    </xf>
    <xf numFmtId="3" fontId="69" fillId="15" borderId="1" xfId="1" applyNumberFormat="1" applyFont="1" applyFill="1" applyBorder="1" applyAlignment="1">
      <alignment horizontal="right" vertical="center"/>
    </xf>
    <xf numFmtId="43" fontId="69" fillId="15" borderId="1" xfId="31" applyFont="1" applyFill="1" applyBorder="1" applyAlignment="1">
      <alignment horizontal="center" vertical="center"/>
    </xf>
    <xf numFmtId="3" fontId="69" fillId="8" borderId="1" xfId="1" applyNumberFormat="1" applyFont="1" applyFill="1" applyBorder="1" applyAlignment="1">
      <alignment horizontal="right" vertical="center"/>
    </xf>
    <xf numFmtId="173" fontId="81" fillId="0" borderId="1" xfId="33" applyNumberFormat="1" applyFont="1" applyFill="1" applyBorder="1" applyAlignment="1">
      <alignment vertical="center"/>
    </xf>
    <xf numFmtId="0" fontId="0" fillId="0" borderId="1" xfId="0" applyBorder="1"/>
    <xf numFmtId="0" fontId="80" fillId="0" borderId="0" xfId="0" applyFont="1"/>
    <xf numFmtId="174" fontId="67" fillId="8" borderId="1" xfId="33" applyNumberFormat="1" applyFont="1" applyFill="1" applyBorder="1" applyAlignment="1">
      <alignment horizontal="center" vertical="center"/>
    </xf>
    <xf numFmtId="44" fontId="67" fillId="0" borderId="1" xfId="32" applyFont="1" applyFill="1" applyBorder="1" applyAlignment="1">
      <alignment horizontal="center" vertical="center"/>
    </xf>
    <xf numFmtId="10" fontId="1" fillId="8" borderId="1" xfId="33" applyNumberFormat="1" applyFont="1" applyFill="1" applyBorder="1" applyAlignment="1">
      <alignment horizontal="center" vertical="center"/>
    </xf>
    <xf numFmtId="0" fontId="83" fillId="0" borderId="1" xfId="1" applyFont="1" applyFill="1" applyBorder="1" applyAlignment="1">
      <alignment horizontal="left" vertical="center" wrapText="1"/>
    </xf>
    <xf numFmtId="0" fontId="83" fillId="0" borderId="1" xfId="1" applyFont="1" applyFill="1" applyBorder="1" applyAlignment="1">
      <alignment horizontal="center" vertical="center" wrapText="1"/>
    </xf>
    <xf numFmtId="0" fontId="1" fillId="8" borderId="1" xfId="1" applyFont="1" applyFill="1" applyBorder="1" applyAlignment="1">
      <alignment horizontal="center" vertical="center" wrapText="1"/>
    </xf>
    <xf numFmtId="9" fontId="67" fillId="8" borderId="1" xfId="33" applyNumberFormat="1" applyFont="1" applyFill="1" applyBorder="1" applyAlignment="1">
      <alignment horizontal="center" vertical="center"/>
    </xf>
    <xf numFmtId="178" fontId="1" fillId="8" borderId="1" xfId="1" applyNumberFormat="1" applyFont="1" applyFill="1" applyBorder="1" applyAlignment="1">
      <alignment horizontal="center" vertical="center"/>
    </xf>
    <xf numFmtId="0" fontId="36" fillId="15" borderId="7" xfId="1" applyFont="1" applyFill="1" applyBorder="1" applyAlignment="1">
      <alignment vertical="center"/>
    </xf>
    <xf numFmtId="0" fontId="1" fillId="8" borderId="7" xfId="1" applyFont="1" applyFill="1" applyBorder="1" applyAlignment="1">
      <alignment vertical="center"/>
    </xf>
    <xf numFmtId="0" fontId="1" fillId="8" borderId="7" xfId="1" applyFont="1" applyFill="1" applyBorder="1" applyAlignment="1">
      <alignment horizontal="center" vertical="center"/>
    </xf>
    <xf numFmtId="0" fontId="1" fillId="8" borderId="6" xfId="1" applyFont="1" applyFill="1" applyBorder="1" applyAlignment="1">
      <alignment vertical="center"/>
    </xf>
    <xf numFmtId="0" fontId="69" fillId="15" borderId="6" xfId="1" applyFont="1" applyFill="1" applyBorder="1" applyAlignment="1">
      <alignment vertical="center"/>
    </xf>
    <xf numFmtId="0" fontId="36" fillId="0" borderId="0" xfId="0" applyFont="1"/>
    <xf numFmtId="0" fontId="84" fillId="0" borderId="0" xfId="0" applyFont="1"/>
    <xf numFmtId="0" fontId="85" fillId="8" borderId="0" xfId="1" applyFont="1" applyFill="1" applyAlignment="1">
      <alignment vertical="center"/>
    </xf>
    <xf numFmtId="0" fontId="86" fillId="8" borderId="0" xfId="1" applyFont="1" applyFill="1" applyAlignment="1">
      <alignment vertical="center"/>
    </xf>
    <xf numFmtId="0" fontId="86" fillId="8" borderId="0" xfId="1" applyFont="1" applyFill="1" applyAlignment="1">
      <alignment horizontal="right" vertical="center"/>
    </xf>
    <xf numFmtId="0" fontId="86" fillId="0" borderId="0" xfId="0" applyFont="1"/>
    <xf numFmtId="0" fontId="68" fillId="8" borderId="0" xfId="1" applyFont="1" applyFill="1" applyAlignment="1">
      <alignment vertical="center"/>
    </xf>
    <xf numFmtId="17" fontId="68" fillId="8" borderId="0" xfId="1" applyNumberFormat="1" applyFont="1" applyFill="1" applyAlignment="1">
      <alignment vertical="center"/>
    </xf>
    <xf numFmtId="0" fontId="88" fillId="17" borderId="0" xfId="1" applyFont="1" applyFill="1" applyAlignment="1">
      <alignment vertical="center"/>
    </xf>
    <xf numFmtId="0" fontId="89" fillId="8" borderId="0" xfId="1" applyFont="1" applyFill="1" applyAlignment="1">
      <alignment vertical="center"/>
    </xf>
    <xf numFmtId="0" fontId="90" fillId="0" borderId="0" xfId="0" applyFont="1"/>
    <xf numFmtId="0" fontId="90" fillId="0" borderId="0" xfId="0" applyFont="1" applyAlignment="1">
      <alignment horizontal="center"/>
    </xf>
    <xf numFmtId="49" fontId="86" fillId="8" borderId="0" xfId="1" applyNumberFormat="1" applyFont="1" applyFill="1" applyAlignment="1">
      <alignment horizontal="center" vertical="center"/>
    </xf>
    <xf numFmtId="49" fontId="86" fillId="8" borderId="0" xfId="1" applyNumberFormat="1" applyFont="1" applyFill="1" applyAlignment="1">
      <alignment vertical="center"/>
    </xf>
    <xf numFmtId="0" fontId="92" fillId="0" borderId="0" xfId="0" applyFont="1"/>
    <xf numFmtId="0" fontId="91" fillId="14" borderId="1" xfId="1" applyFont="1" applyFill="1" applyBorder="1" applyAlignment="1">
      <alignment horizontal="center" vertical="center" wrapText="1"/>
    </xf>
    <xf numFmtId="0" fontId="88" fillId="15" borderId="1" xfId="1" applyFont="1" applyFill="1" applyBorder="1" applyAlignment="1">
      <alignment vertical="center"/>
    </xf>
    <xf numFmtId="0" fontId="88" fillId="15" borderId="1" xfId="1" applyFont="1" applyFill="1" applyBorder="1" applyAlignment="1">
      <alignment horizontal="center" vertical="center"/>
    </xf>
    <xf numFmtId="164" fontId="88" fillId="15" borderId="1" xfId="28" applyFont="1" applyFill="1" applyBorder="1" applyAlignment="1">
      <alignment horizontal="center" vertical="center"/>
    </xf>
    <xf numFmtId="0" fontId="83" fillId="0" borderId="0" xfId="0" applyFont="1"/>
    <xf numFmtId="0" fontId="83" fillId="8" borderId="1" xfId="1" applyFont="1" applyFill="1" applyBorder="1" applyAlignment="1">
      <alignment vertical="center"/>
    </xf>
    <xf numFmtId="0" fontId="88" fillId="8" borderId="1" xfId="1" applyFont="1" applyFill="1" applyBorder="1" applyAlignment="1">
      <alignment horizontal="center" vertical="center"/>
    </xf>
    <xf numFmtId="9" fontId="88" fillId="8" borderId="1" xfId="33" applyFont="1" applyFill="1" applyBorder="1" applyAlignment="1">
      <alignment horizontal="center" vertical="center"/>
    </xf>
    <xf numFmtId="164" fontId="88" fillId="8" borderId="1" xfId="28" applyFont="1" applyFill="1" applyBorder="1" applyAlignment="1">
      <alignment horizontal="center" vertical="center"/>
    </xf>
    <xf numFmtId="9" fontId="88" fillId="15" borderId="1" xfId="33" applyFont="1" applyFill="1" applyBorder="1" applyAlignment="1">
      <alignment horizontal="center" vertical="center"/>
    </xf>
    <xf numFmtId="164" fontId="83" fillId="0" borderId="0" xfId="0" applyNumberFormat="1" applyFont="1"/>
    <xf numFmtId="0" fontId="88" fillId="0" borderId="1" xfId="1" applyFont="1" applyFill="1" applyBorder="1" applyAlignment="1">
      <alignment vertical="center"/>
    </xf>
    <xf numFmtId="0" fontId="88" fillId="0" borderId="1" xfId="1" applyFont="1" applyFill="1" applyBorder="1" applyAlignment="1">
      <alignment horizontal="center" vertical="center"/>
    </xf>
    <xf numFmtId="9" fontId="88" fillId="0" borderId="1" xfId="33" applyFont="1" applyFill="1" applyBorder="1" applyAlignment="1">
      <alignment horizontal="center" vertical="center"/>
    </xf>
    <xf numFmtId="164" fontId="88" fillId="0" borderId="1" xfId="28" applyFont="1" applyFill="1" applyBorder="1" applyAlignment="1">
      <alignment horizontal="center" vertical="center"/>
    </xf>
    <xf numFmtId="0" fontId="83" fillId="0" borderId="0" xfId="0" applyFont="1" applyFill="1"/>
    <xf numFmtId="164" fontId="83" fillId="0" borderId="0" xfId="0" applyNumberFormat="1" applyFont="1" applyFill="1"/>
    <xf numFmtId="0" fontId="83" fillId="0" borderId="1" xfId="0" applyFont="1" applyBorder="1"/>
    <xf numFmtId="0" fontId="88" fillId="0" borderId="1" xfId="0" applyFont="1" applyBorder="1"/>
    <xf numFmtId="164" fontId="88" fillId="0" borderId="1" xfId="28" applyFont="1" applyBorder="1"/>
    <xf numFmtId="0" fontId="83" fillId="0" borderId="1" xfId="1" applyFont="1" applyBorder="1" applyAlignment="1">
      <alignment vertical="center"/>
    </xf>
    <xf numFmtId="0" fontId="88" fillId="0" borderId="1" xfId="1" applyFont="1" applyBorder="1" applyAlignment="1">
      <alignment horizontal="center" vertical="center"/>
    </xf>
    <xf numFmtId="0" fontId="83" fillId="0" borderId="1" xfId="1" applyFont="1" applyFill="1" applyBorder="1" applyAlignment="1">
      <alignment vertical="center"/>
    </xf>
    <xf numFmtId="0" fontId="88" fillId="0" borderId="1" xfId="0" applyFont="1" applyBorder="1" applyAlignment="1">
      <alignment horizontal="center"/>
    </xf>
    <xf numFmtId="164" fontId="88" fillId="0" borderId="1" xfId="28" applyFont="1" applyFill="1" applyBorder="1"/>
    <xf numFmtId="164" fontId="83" fillId="0" borderId="1" xfId="28" applyFont="1" applyFill="1" applyBorder="1"/>
    <xf numFmtId="0" fontId="86" fillId="15" borderId="1" xfId="1" applyFont="1" applyFill="1" applyBorder="1" applyAlignment="1">
      <alignment vertical="center"/>
    </xf>
    <xf numFmtId="0" fontId="86" fillId="15" borderId="1" xfId="1" applyFont="1" applyFill="1" applyBorder="1" applyAlignment="1">
      <alignment horizontal="center" vertical="center"/>
    </xf>
    <xf numFmtId="9" fontId="86" fillId="15" borderId="1" xfId="33" applyFont="1" applyFill="1" applyBorder="1" applyAlignment="1">
      <alignment horizontal="center" vertical="center"/>
    </xf>
    <xf numFmtId="164" fontId="86" fillId="15" borderId="1" xfId="28" applyFont="1" applyFill="1" applyBorder="1" applyAlignment="1">
      <alignment horizontal="center" vertical="center"/>
    </xf>
    <xf numFmtId="0" fontId="84" fillId="0" borderId="1" xfId="0" applyFont="1" applyBorder="1"/>
    <xf numFmtId="0" fontId="83" fillId="0" borderId="1" xfId="0" applyFont="1" applyFill="1" applyBorder="1"/>
    <xf numFmtId="0" fontId="88" fillId="0" borderId="1" xfId="0" applyFont="1" applyFill="1" applyBorder="1"/>
    <xf numFmtId="0" fontId="88" fillId="0" borderId="1" xfId="1" applyFont="1" applyFill="1" applyBorder="1" applyAlignment="1">
      <alignment horizontal="left" vertical="center"/>
    </xf>
    <xf numFmtId="0" fontId="93" fillId="8" borderId="1" xfId="1" applyFont="1" applyFill="1" applyBorder="1" applyAlignment="1">
      <alignment vertical="center"/>
    </xf>
    <xf numFmtId="0" fontId="88" fillId="8" borderId="1" xfId="1" applyFont="1" applyFill="1" applyBorder="1" applyAlignment="1">
      <alignment horizontal="left" vertical="center"/>
    </xf>
    <xf numFmtId="0" fontId="94" fillId="18" borderId="1" xfId="0" applyFont="1" applyFill="1" applyBorder="1" applyAlignment="1">
      <alignment vertical="center"/>
    </xf>
    <xf numFmtId="0" fontId="93" fillId="0" borderId="1" xfId="0" applyFont="1" applyBorder="1"/>
    <xf numFmtId="0" fontId="88" fillId="0" borderId="1" xfId="1" applyFont="1" applyBorder="1" applyAlignment="1">
      <alignment vertical="center"/>
    </xf>
    <xf numFmtId="0" fontId="88" fillId="0" borderId="1" xfId="1" applyFont="1" applyBorder="1" applyAlignment="1">
      <alignment horizontal="left" vertical="center"/>
    </xf>
    <xf numFmtId="0" fontId="93" fillId="0" borderId="1" xfId="1" applyFont="1" applyBorder="1" applyAlignment="1">
      <alignment vertical="center"/>
    </xf>
    <xf numFmtId="0" fontId="95" fillId="0" borderId="1" xfId="0" applyFont="1" applyFill="1" applyBorder="1" applyAlignment="1">
      <alignment horizontal="center" vertical="center"/>
    </xf>
    <xf numFmtId="0" fontId="88" fillId="8" borderId="1" xfId="1" applyFont="1" applyFill="1" applyBorder="1" applyAlignment="1">
      <alignment vertical="center"/>
    </xf>
    <xf numFmtId="0" fontId="86" fillId="8" borderId="1" xfId="1" applyFont="1" applyFill="1" applyBorder="1" applyAlignment="1">
      <alignment vertical="center"/>
    </xf>
    <xf numFmtId="0" fontId="86" fillId="8" borderId="1" xfId="1" applyFont="1" applyFill="1" applyBorder="1" applyAlignment="1">
      <alignment horizontal="center" vertical="center"/>
    </xf>
    <xf numFmtId="9" fontId="86" fillId="8" borderId="1" xfId="33" applyFont="1" applyFill="1" applyBorder="1" applyAlignment="1">
      <alignment horizontal="center" vertical="center"/>
    </xf>
    <xf numFmtId="164" fontId="86" fillId="8" borderId="1" xfId="28" applyFont="1" applyFill="1" applyBorder="1" applyAlignment="1">
      <alignment horizontal="center" vertical="center"/>
    </xf>
    <xf numFmtId="164" fontId="88" fillId="0" borderId="0" xfId="0" applyNumberFormat="1" applyFont="1"/>
    <xf numFmtId="0" fontId="88" fillId="0" borderId="0" xfId="0" applyFont="1"/>
    <xf numFmtId="0" fontId="91" fillId="14" borderId="1" xfId="1" applyFont="1" applyFill="1" applyBorder="1" applyAlignment="1">
      <alignment horizontal="left" vertical="center"/>
    </xf>
    <xf numFmtId="0" fontId="91" fillId="14" borderId="1" xfId="1" applyFont="1" applyFill="1" applyBorder="1" applyAlignment="1">
      <alignment horizontal="center" vertical="center"/>
    </xf>
    <xf numFmtId="9" fontId="91" fillId="14" borderId="1" xfId="33" applyFont="1" applyFill="1" applyBorder="1" applyAlignment="1">
      <alignment horizontal="center" vertical="center"/>
    </xf>
    <xf numFmtId="164" fontId="91" fillId="14" borderId="1" xfId="28" applyFont="1" applyFill="1" applyBorder="1" applyAlignment="1">
      <alignment horizontal="center" vertical="center"/>
    </xf>
    <xf numFmtId="0" fontId="83" fillId="8" borderId="0" xfId="1" applyFont="1" applyFill="1" applyAlignment="1">
      <alignment horizontal="left" vertical="center"/>
    </xf>
    <xf numFmtId="0" fontId="83" fillId="8" borderId="0" xfId="1" applyFont="1" applyFill="1" applyAlignment="1">
      <alignment vertical="center"/>
    </xf>
    <xf numFmtId="169" fontId="83" fillId="0" borderId="0" xfId="0" applyNumberFormat="1" applyFont="1"/>
    <xf numFmtId="0" fontId="96" fillId="0" borderId="0" xfId="0" applyFont="1" applyAlignment="1">
      <alignment horizontal="center"/>
    </xf>
    <xf numFmtId="0" fontId="97" fillId="8" borderId="0" xfId="1" applyFont="1" applyFill="1" applyBorder="1" applyAlignment="1">
      <alignment horizontal="center" vertical="center"/>
    </xf>
    <xf numFmtId="0" fontId="97" fillId="0" borderId="0" xfId="0" applyFont="1"/>
    <xf numFmtId="14" fontId="99" fillId="0" borderId="1" xfId="0" applyNumberFormat="1" applyFont="1" applyBorder="1" applyAlignment="1">
      <alignment horizontal="center"/>
    </xf>
    <xf numFmtId="0" fontId="0" fillId="19" borderId="1" xfId="0" applyFill="1" applyBorder="1"/>
    <xf numFmtId="0" fontId="36" fillId="19" borderId="1" xfId="1" applyFont="1" applyFill="1" applyBorder="1" applyAlignment="1">
      <alignment horizontal="left" vertical="center"/>
    </xf>
    <xf numFmtId="4" fontId="79" fillId="19" borderId="1" xfId="0" applyNumberFormat="1" applyFont="1" applyFill="1" applyBorder="1" applyAlignment="1">
      <alignment vertical="center"/>
    </xf>
    <xf numFmtId="10" fontId="36" fillId="19" borderId="1" xfId="33" applyNumberFormat="1" applyFont="1" applyFill="1" applyBorder="1" applyAlignment="1">
      <alignment horizontal="center" vertical="center"/>
    </xf>
    <xf numFmtId="9" fontId="36" fillId="19" borderId="1" xfId="33" applyFont="1" applyFill="1" applyBorder="1" applyAlignment="1">
      <alignment horizontal="center" vertical="center"/>
    </xf>
    <xf numFmtId="0" fontId="0" fillId="0" borderId="1" xfId="1" applyFont="1" applyFill="1" applyBorder="1" applyAlignment="1">
      <alignment horizontal="center" vertical="center"/>
    </xf>
    <xf numFmtId="44" fontId="0" fillId="8" borderId="1" xfId="32" applyFont="1" applyFill="1" applyBorder="1" applyAlignment="1">
      <alignment horizontal="center" vertical="center"/>
    </xf>
    <xf numFmtId="0" fontId="100" fillId="19" borderId="1" xfId="1" applyFont="1" applyFill="1" applyBorder="1" applyAlignment="1">
      <alignment horizontal="left" vertical="center"/>
    </xf>
    <xf numFmtId="9" fontId="36" fillId="0" borderId="1" xfId="1" applyNumberFormat="1" applyFont="1" applyFill="1" applyBorder="1" applyAlignment="1">
      <alignment horizontal="center" vertical="center"/>
    </xf>
    <xf numFmtId="0" fontId="0" fillId="19" borderId="1" xfId="1" applyFont="1" applyFill="1" applyBorder="1" applyAlignment="1">
      <alignment vertical="center"/>
    </xf>
    <xf numFmtId="9" fontId="36" fillId="19" borderId="1" xfId="33" applyFont="1" applyFill="1" applyBorder="1" applyAlignment="1">
      <alignment horizontal="left" vertical="center" wrapText="1"/>
    </xf>
    <xf numFmtId="9" fontId="36" fillId="0" borderId="1" xfId="33" applyFont="1" applyFill="1" applyBorder="1" applyAlignment="1">
      <alignment horizontal="center" vertical="center" wrapText="1"/>
    </xf>
    <xf numFmtId="0" fontId="0" fillId="19" borderId="1" xfId="0" applyFill="1" applyBorder="1" applyAlignment="1">
      <alignment vertical="center"/>
    </xf>
    <xf numFmtId="0" fontId="1" fillId="19" borderId="1" xfId="1" applyFont="1" applyFill="1" applyBorder="1" applyAlignment="1">
      <alignment horizontal="left" vertical="center"/>
    </xf>
    <xf numFmtId="0" fontId="0" fillId="0" borderId="1" xfId="1" applyFont="1" applyFill="1" applyBorder="1" applyAlignment="1">
      <alignment horizontal="center" vertical="center" wrapText="1"/>
    </xf>
    <xf numFmtId="0" fontId="0" fillId="8" borderId="0" xfId="0" applyFill="1"/>
    <xf numFmtId="0" fontId="0" fillId="19" borderId="1" xfId="0" applyFill="1" applyBorder="1" applyAlignment="1">
      <alignment horizontal="left" vertical="center"/>
    </xf>
    <xf numFmtId="4" fontId="0" fillId="19" borderId="1" xfId="0" applyNumberFormat="1" applyFill="1" applyBorder="1" applyAlignment="1">
      <alignment vertical="center"/>
    </xf>
    <xf numFmtId="9" fontId="0" fillId="19" borderId="1" xfId="0" applyNumberFormat="1" applyFont="1" applyFill="1" applyBorder="1" applyAlignment="1">
      <alignment horizontal="center" vertical="center"/>
    </xf>
    <xf numFmtId="4" fontId="0" fillId="19" borderId="1" xfId="0" applyNumberFormat="1" applyFont="1" applyFill="1" applyBorder="1" applyAlignment="1">
      <alignment vertical="center"/>
    </xf>
    <xf numFmtId="9" fontId="101" fillId="8" borderId="1" xfId="33" applyFont="1" applyFill="1" applyBorder="1" applyAlignment="1">
      <alignment horizontal="left" vertical="center" wrapText="1"/>
    </xf>
    <xf numFmtId="0" fontId="0" fillId="19" borderId="1" xfId="0" applyFont="1" applyFill="1" applyBorder="1" applyAlignment="1">
      <alignment horizontal="left" vertical="center"/>
    </xf>
    <xf numFmtId="0" fontId="0" fillId="19" borderId="1" xfId="0" applyFont="1" applyFill="1" applyBorder="1" applyAlignment="1">
      <alignment vertical="center"/>
    </xf>
    <xf numFmtId="0" fontId="0" fillId="19" borderId="1" xfId="1" applyFont="1" applyFill="1" applyBorder="1" applyAlignment="1">
      <alignment horizontal="left" vertical="center"/>
    </xf>
    <xf numFmtId="0" fontId="0" fillId="8" borderId="0" xfId="1" applyFont="1" applyFill="1" applyBorder="1" applyAlignment="1">
      <alignment horizontal="left" vertical="center"/>
    </xf>
    <xf numFmtId="4" fontId="79" fillId="0" borderId="1" xfId="0" applyNumberFormat="1" applyFont="1" applyBorder="1"/>
    <xf numFmtId="4" fontId="79" fillId="19" borderId="1" xfId="0" applyNumberFormat="1" applyFont="1" applyFill="1" applyBorder="1"/>
    <xf numFmtId="0" fontId="102" fillId="0" borderId="0" xfId="0" applyFont="1"/>
    <xf numFmtId="4" fontId="103" fillId="5" borderId="1" xfId="0" applyNumberFormat="1" applyFont="1" applyFill="1" applyBorder="1"/>
    <xf numFmtId="0" fontId="104" fillId="17" borderId="0" xfId="1" applyFont="1" applyFill="1" applyBorder="1" applyAlignment="1">
      <alignment vertical="center"/>
    </xf>
    <xf numFmtId="0" fontId="69" fillId="17" borderId="0" xfId="1" applyFont="1" applyFill="1" applyBorder="1" applyAlignment="1">
      <alignment vertical="center"/>
    </xf>
    <xf numFmtId="0" fontId="107" fillId="0" borderId="0" xfId="0" applyFont="1"/>
    <xf numFmtId="0" fontId="66" fillId="0" borderId="0" xfId="0" applyFont="1"/>
    <xf numFmtId="0" fontId="66" fillId="0" borderId="0" xfId="0" applyFont="1" applyAlignment="1">
      <alignment horizontal="center"/>
    </xf>
    <xf numFmtId="0" fontId="66" fillId="0" borderId="0" xfId="0" applyFont="1" applyAlignment="1">
      <alignment horizontal="center"/>
    </xf>
    <xf numFmtId="0" fontId="76" fillId="0" borderId="0" xfId="0" applyFont="1" applyAlignment="1">
      <alignment horizontal="center"/>
    </xf>
    <xf numFmtId="10" fontId="67" fillId="8" borderId="1" xfId="33" applyNumberFormat="1" applyFont="1" applyFill="1" applyBorder="1" applyAlignment="1">
      <alignment horizontal="center" vertical="center"/>
    </xf>
    <xf numFmtId="4" fontId="67" fillId="8" borderId="1" xfId="1" applyNumberFormat="1" applyFont="1" applyFill="1" applyBorder="1" applyAlignment="1">
      <alignment horizontal="center" vertical="center"/>
    </xf>
    <xf numFmtId="0" fontId="108" fillId="8" borderId="1" xfId="1" applyFont="1" applyFill="1" applyBorder="1" applyAlignment="1">
      <alignment horizontal="center" vertical="center" wrapText="1"/>
    </xf>
    <xf numFmtId="0" fontId="36" fillId="0" borderId="1" xfId="1" applyFont="1" applyFill="1" applyBorder="1" applyAlignment="1">
      <alignment horizontal="center" vertical="center" wrapText="1"/>
    </xf>
    <xf numFmtId="10" fontId="36" fillId="8" borderId="1" xfId="33" applyNumberFormat="1" applyFont="1" applyFill="1" applyBorder="1" applyAlignment="1">
      <alignment horizontal="center" vertical="center"/>
    </xf>
    <xf numFmtId="9" fontId="108" fillId="8" borderId="1" xfId="33" applyFont="1" applyFill="1" applyBorder="1" applyAlignment="1">
      <alignment horizontal="center" vertical="center" wrapText="1"/>
    </xf>
    <xf numFmtId="9" fontId="108" fillId="0" borderId="1" xfId="33" applyFont="1" applyFill="1" applyBorder="1" applyAlignment="1">
      <alignment horizontal="center" vertical="center" wrapText="1"/>
    </xf>
    <xf numFmtId="0" fontId="36" fillId="8" borderId="7" xfId="1" applyFont="1" applyFill="1" applyBorder="1" applyAlignment="1">
      <alignment horizontal="center" vertical="center" wrapText="1"/>
    </xf>
    <xf numFmtId="9" fontId="72" fillId="0" borderId="1" xfId="33" applyFont="1" applyFill="1" applyBorder="1" applyAlignment="1">
      <alignment horizontal="center" vertical="center" wrapText="1"/>
    </xf>
    <xf numFmtId="0" fontId="36" fillId="8" borderId="7" xfId="1" applyFont="1" applyFill="1" applyBorder="1" applyAlignment="1">
      <alignment horizontal="center" vertical="center"/>
    </xf>
    <xf numFmtId="0" fontId="36" fillId="8" borderId="6" xfId="1" applyFont="1" applyFill="1" applyBorder="1" applyAlignment="1">
      <alignment horizontal="center" vertical="center" wrapText="1"/>
    </xf>
    <xf numFmtId="0" fontId="36" fillId="8" borderId="6" xfId="1" applyFont="1" applyFill="1" applyBorder="1" applyAlignment="1">
      <alignment horizontal="center" vertical="center"/>
    </xf>
    <xf numFmtId="0" fontId="36" fillId="8" borderId="1" xfId="1" applyFont="1" applyFill="1" applyBorder="1" applyAlignment="1">
      <alignment horizontal="center" vertical="center" wrapText="1"/>
    </xf>
    <xf numFmtId="0" fontId="85" fillId="8" borderId="0" xfId="1" applyFont="1" applyFill="1" applyBorder="1" applyAlignment="1">
      <alignment vertical="center"/>
    </xf>
    <xf numFmtId="0" fontId="86" fillId="8" borderId="0" xfId="1" applyFont="1" applyFill="1" applyBorder="1" applyAlignment="1">
      <alignment vertical="center"/>
    </xf>
    <xf numFmtId="44" fontId="86" fillId="8" borderId="0" xfId="1" applyNumberFormat="1" applyFont="1" applyFill="1" applyBorder="1" applyAlignment="1">
      <alignment vertical="center"/>
    </xf>
    <xf numFmtId="0" fontId="86" fillId="0" borderId="0" xfId="0" applyFont="1" applyBorder="1"/>
    <xf numFmtId="0" fontId="87" fillId="0" borderId="0" xfId="0" applyFont="1" applyBorder="1"/>
    <xf numFmtId="0" fontId="91" fillId="14" borderId="13" xfId="1" applyFont="1" applyFill="1" applyBorder="1" applyAlignment="1">
      <alignment horizontal="center" vertical="center" wrapText="1"/>
    </xf>
    <xf numFmtId="0" fontId="91" fillId="14" borderId="16" xfId="1" applyFont="1" applyFill="1" applyBorder="1" applyAlignment="1">
      <alignment horizontal="center" vertical="center" wrapText="1"/>
    </xf>
    <xf numFmtId="44" fontId="91" fillId="14" borderId="16" xfId="1" applyNumberFormat="1" applyFont="1" applyFill="1" applyBorder="1" applyAlignment="1">
      <alignment horizontal="center" vertical="center" wrapText="1"/>
    </xf>
    <xf numFmtId="14" fontId="91" fillId="14" borderId="18" xfId="1" applyNumberFormat="1" applyFont="1" applyFill="1" applyBorder="1" applyAlignment="1">
      <alignment horizontal="center" vertical="center" wrapText="1"/>
    </xf>
    <xf numFmtId="0" fontId="86" fillId="15" borderId="19" xfId="1" applyFont="1" applyFill="1" applyBorder="1" applyAlignment="1">
      <alignment vertical="center"/>
    </xf>
    <xf numFmtId="0" fontId="88" fillId="15" borderId="20" xfId="1" applyFont="1" applyFill="1" applyBorder="1" applyAlignment="1">
      <alignment horizontal="center" vertical="center"/>
    </xf>
    <xf numFmtId="44" fontId="88" fillId="15" borderId="20" xfId="1" applyNumberFormat="1" applyFont="1" applyFill="1" applyBorder="1" applyAlignment="1">
      <alignment horizontal="center" vertical="center"/>
    </xf>
    <xf numFmtId="0" fontId="88" fillId="15" borderId="21" xfId="1" applyFont="1" applyFill="1" applyBorder="1" applyAlignment="1">
      <alignment horizontal="center" vertical="center"/>
    </xf>
    <xf numFmtId="0" fontId="88" fillId="15" borderId="22" xfId="1" applyFont="1" applyFill="1" applyBorder="1" applyAlignment="1">
      <alignment horizontal="center" vertical="center"/>
    </xf>
    <xf numFmtId="0" fontId="84" fillId="8" borderId="23" xfId="1" applyFont="1" applyFill="1" applyBorder="1" applyAlignment="1">
      <alignment vertical="center"/>
    </xf>
    <xf numFmtId="0" fontId="88" fillId="8" borderId="24" xfId="1" applyFont="1" applyFill="1" applyBorder="1" applyAlignment="1">
      <alignment horizontal="center" vertical="center"/>
    </xf>
    <xf numFmtId="9" fontId="88" fillId="8" borderId="24" xfId="33" applyFont="1" applyFill="1" applyBorder="1" applyAlignment="1">
      <alignment horizontal="center" vertical="center"/>
    </xf>
    <xf numFmtId="44" fontId="88" fillId="8" borderId="24" xfId="1" applyNumberFormat="1" applyFont="1" applyFill="1" applyBorder="1" applyAlignment="1">
      <alignment horizontal="center" vertical="center"/>
    </xf>
    <xf numFmtId="0" fontId="88" fillId="8" borderId="3" xfId="1" applyFont="1" applyFill="1" applyBorder="1" applyAlignment="1">
      <alignment horizontal="center" vertical="center"/>
    </xf>
    <xf numFmtId="0" fontId="88" fillId="8" borderId="25" xfId="1" applyFont="1" applyFill="1" applyBorder="1" applyAlignment="1">
      <alignment horizontal="center" vertical="center"/>
    </xf>
    <xf numFmtId="9" fontId="88" fillId="15" borderId="20" xfId="33" applyFont="1" applyFill="1" applyBorder="1" applyAlignment="1">
      <alignment horizontal="center" vertical="center"/>
    </xf>
    <xf numFmtId="44" fontId="88" fillId="15" borderId="22" xfId="32" applyFont="1" applyFill="1" applyBorder="1" applyAlignment="1">
      <alignment horizontal="center" vertical="center"/>
    </xf>
    <xf numFmtId="43" fontId="84" fillId="8" borderId="26" xfId="1" applyNumberFormat="1" applyFont="1" applyFill="1" applyBorder="1" applyAlignment="1">
      <alignment vertical="center"/>
    </xf>
    <xf numFmtId="0" fontId="86" fillId="8" borderId="6" xfId="1" applyFont="1" applyFill="1" applyBorder="1" applyAlignment="1">
      <alignment horizontal="center" vertical="center"/>
    </xf>
    <xf numFmtId="9" fontId="86" fillId="8" borderId="6" xfId="33" applyFont="1" applyFill="1" applyBorder="1" applyAlignment="1">
      <alignment horizontal="center" vertical="center"/>
    </xf>
    <xf numFmtId="10" fontId="86" fillId="8" borderId="6" xfId="33" applyNumberFormat="1" applyFont="1" applyFill="1" applyBorder="1" applyAlignment="1">
      <alignment horizontal="center" vertical="center"/>
    </xf>
    <xf numFmtId="9" fontId="86" fillId="0" borderId="6" xfId="33" applyFont="1" applyFill="1" applyBorder="1" applyAlignment="1">
      <alignment horizontal="center" vertical="center"/>
    </xf>
    <xf numFmtId="44" fontId="86" fillId="8" borderId="6" xfId="1" applyNumberFormat="1" applyFont="1" applyFill="1" applyBorder="1" applyAlignment="1">
      <alignment horizontal="center" vertical="center"/>
    </xf>
    <xf numFmtId="0" fontId="86" fillId="8" borderId="2" xfId="1" applyFont="1" applyFill="1" applyBorder="1" applyAlignment="1">
      <alignment horizontal="center" vertical="center"/>
    </xf>
    <xf numFmtId="43" fontId="84" fillId="8" borderId="29" xfId="1" applyNumberFormat="1" applyFont="1" applyFill="1" applyBorder="1" applyAlignment="1">
      <alignment vertical="center"/>
    </xf>
    <xf numFmtId="10" fontId="86" fillId="8" borderId="1" xfId="33" applyNumberFormat="1" applyFont="1" applyFill="1" applyBorder="1" applyAlignment="1">
      <alignment horizontal="center" vertical="center"/>
    </xf>
    <xf numFmtId="44" fontId="86" fillId="8" borderId="1" xfId="1" applyNumberFormat="1" applyFont="1" applyFill="1" applyBorder="1" applyAlignment="1">
      <alignment horizontal="center" vertical="center"/>
    </xf>
    <xf numFmtId="44" fontId="88" fillId="0" borderId="30" xfId="32" applyFont="1" applyFill="1" applyBorder="1" applyAlignment="1">
      <alignment horizontal="center" vertical="center"/>
    </xf>
    <xf numFmtId="0" fontId="84" fillId="8" borderId="29" xfId="1" applyFont="1" applyFill="1" applyBorder="1" applyAlignment="1">
      <alignment vertical="center"/>
    </xf>
    <xf numFmtId="0" fontId="86" fillId="15" borderId="20" xfId="1" applyFont="1" applyFill="1" applyBorder="1" applyAlignment="1">
      <alignment horizontal="center" vertical="center"/>
    </xf>
    <xf numFmtId="9" fontId="86" fillId="15" borderId="20" xfId="33" applyFont="1" applyFill="1" applyBorder="1" applyAlignment="1">
      <alignment horizontal="center" vertical="center"/>
    </xf>
    <xf numFmtId="44" fontId="86" fillId="15" borderId="20" xfId="1" applyNumberFormat="1" applyFont="1" applyFill="1" applyBorder="1" applyAlignment="1">
      <alignment horizontal="center" vertical="center"/>
    </xf>
    <xf numFmtId="0" fontId="86" fillId="15" borderId="21" xfId="1" applyFont="1" applyFill="1" applyBorder="1" applyAlignment="1">
      <alignment horizontal="center" vertical="center"/>
    </xf>
    <xf numFmtId="44" fontId="86" fillId="15" borderId="22" xfId="32" applyFont="1" applyFill="1" applyBorder="1" applyAlignment="1">
      <alignment horizontal="center" vertical="center"/>
    </xf>
    <xf numFmtId="0" fontId="86" fillId="8" borderId="24" xfId="1" applyFont="1" applyFill="1" applyBorder="1" applyAlignment="1">
      <alignment horizontal="center" vertical="center"/>
    </xf>
    <xf numFmtId="9" fontId="86" fillId="8" borderId="24" xfId="33" applyFont="1" applyFill="1" applyBorder="1" applyAlignment="1">
      <alignment horizontal="center" vertical="center"/>
    </xf>
    <xf numFmtId="44" fontId="86" fillId="8" borderId="24" xfId="1" applyNumberFormat="1" applyFont="1" applyFill="1" applyBorder="1" applyAlignment="1">
      <alignment horizontal="center" vertical="center"/>
    </xf>
    <xf numFmtId="44" fontId="86" fillId="0" borderId="25" xfId="32" applyFont="1" applyFill="1" applyBorder="1" applyAlignment="1">
      <alignment horizontal="center" vertical="center"/>
    </xf>
    <xf numFmtId="44" fontId="88" fillId="0" borderId="13" xfId="32" applyFont="1" applyFill="1" applyBorder="1" applyAlignment="1">
      <alignment horizontal="center" vertical="center"/>
    </xf>
    <xf numFmtId="43" fontId="84" fillId="8" borderId="1" xfId="1" applyNumberFormat="1" applyFont="1" applyFill="1" applyBorder="1" applyAlignment="1">
      <alignment vertical="center"/>
    </xf>
    <xf numFmtId="44" fontId="86" fillId="0" borderId="1" xfId="1" applyNumberFormat="1" applyFont="1" applyFill="1" applyBorder="1" applyAlignment="1">
      <alignment horizontal="center" vertical="center"/>
    </xf>
    <xf numFmtId="44" fontId="88" fillId="0" borderId="31" xfId="32" applyFont="1" applyFill="1" applyBorder="1" applyAlignment="1">
      <alignment horizontal="center" vertical="center"/>
    </xf>
    <xf numFmtId="0" fontId="86" fillId="8" borderId="32" xfId="1" applyFont="1" applyFill="1" applyBorder="1" applyAlignment="1">
      <alignment horizontal="center" vertical="center"/>
    </xf>
    <xf numFmtId="44" fontId="88" fillId="0" borderId="18" xfId="32" applyFont="1" applyFill="1" applyBorder="1" applyAlignment="1">
      <alignment horizontal="center" vertical="center"/>
    </xf>
    <xf numFmtId="43" fontId="84" fillId="8" borderId="23" xfId="1" applyNumberFormat="1" applyFont="1" applyFill="1" applyBorder="1" applyAlignment="1">
      <alignment vertical="center"/>
    </xf>
    <xf numFmtId="0" fontId="86" fillId="8" borderId="3" xfId="1" applyFont="1" applyFill="1" applyBorder="1" applyAlignment="1">
      <alignment horizontal="center" vertical="center"/>
    </xf>
    <xf numFmtId="44" fontId="88" fillId="0" borderId="25" xfId="32" applyFont="1" applyFill="1" applyBorder="1" applyAlignment="1">
      <alignment horizontal="center" vertical="center"/>
    </xf>
    <xf numFmtId="0" fontId="86" fillId="8" borderId="3" xfId="1" applyFont="1" applyFill="1" applyBorder="1" applyAlignment="1">
      <alignment horizontal="center" vertical="center" wrapText="1"/>
    </xf>
    <xf numFmtId="0" fontId="86" fillId="8" borderId="33" xfId="1" applyFont="1" applyFill="1" applyBorder="1" applyAlignment="1">
      <alignment horizontal="center" vertical="center"/>
    </xf>
    <xf numFmtId="44" fontId="88" fillId="0" borderId="28" xfId="32" applyFont="1" applyFill="1" applyBorder="1" applyAlignment="1">
      <alignment horizontal="center" vertical="center"/>
    </xf>
    <xf numFmtId="43" fontId="84" fillId="8" borderId="34" xfId="1" applyNumberFormat="1" applyFont="1" applyFill="1" applyBorder="1" applyAlignment="1">
      <alignment vertical="center"/>
    </xf>
    <xf numFmtId="0" fontId="86" fillId="8" borderId="7" xfId="1" applyFont="1" applyFill="1" applyBorder="1" applyAlignment="1">
      <alignment horizontal="center" vertical="center"/>
    </xf>
    <xf numFmtId="9" fontId="86" fillId="8" borderId="7" xfId="33" applyFont="1" applyFill="1" applyBorder="1" applyAlignment="1">
      <alignment horizontal="center" vertical="center"/>
    </xf>
    <xf numFmtId="44" fontId="86" fillId="0" borderId="7" xfId="1" applyNumberFormat="1" applyFont="1" applyFill="1" applyBorder="1" applyAlignment="1">
      <alignment horizontal="center" vertical="center"/>
    </xf>
    <xf numFmtId="44" fontId="86" fillId="8" borderId="7" xfId="1" applyNumberFormat="1" applyFont="1" applyFill="1" applyBorder="1" applyAlignment="1">
      <alignment horizontal="center" vertical="center"/>
    </xf>
    <xf numFmtId="0" fontId="86" fillId="14" borderId="19" xfId="1" applyFont="1" applyFill="1" applyBorder="1" applyAlignment="1">
      <alignment horizontal="left" vertical="center"/>
    </xf>
    <xf numFmtId="0" fontId="91" fillId="14" borderId="20" xfId="1" applyFont="1" applyFill="1" applyBorder="1" applyAlignment="1">
      <alignment horizontal="center" vertical="center"/>
    </xf>
    <xf numFmtId="9" fontId="91" fillId="14" borderId="20" xfId="33" applyFont="1" applyFill="1" applyBorder="1" applyAlignment="1">
      <alignment horizontal="center" vertical="center"/>
    </xf>
    <xf numFmtId="44" fontId="91" fillId="14" borderId="20" xfId="1" applyNumberFormat="1" applyFont="1" applyFill="1" applyBorder="1" applyAlignment="1">
      <alignment horizontal="center" vertical="center"/>
    </xf>
    <xf numFmtId="0" fontId="91" fillId="14" borderId="21" xfId="1" applyFont="1" applyFill="1" applyBorder="1" applyAlignment="1">
      <alignment horizontal="center" vertical="center"/>
    </xf>
    <xf numFmtId="44" fontId="91" fillId="14" borderId="22" xfId="32" applyFont="1" applyFill="1" applyBorder="1" applyAlignment="1">
      <alignment horizontal="center" vertical="center"/>
    </xf>
    <xf numFmtId="0" fontId="110" fillId="20" borderId="0" xfId="9" applyFont="1" applyFill="1" applyBorder="1"/>
    <xf numFmtId="0" fontId="19" fillId="0" borderId="0" xfId="9" applyFont="1" applyBorder="1" applyAlignment="1">
      <alignment horizontal="center"/>
    </xf>
    <xf numFmtId="0" fontId="19" fillId="0" borderId="0" xfId="9" applyFont="1" applyBorder="1" applyAlignment="1"/>
    <xf numFmtId="0" fontId="19" fillId="0" borderId="0" xfId="9" applyFont="1" applyAlignment="1"/>
    <xf numFmtId="0" fontId="21" fillId="0" borderId="0" xfId="9" applyFont="1" applyAlignment="1"/>
    <xf numFmtId="0" fontId="111" fillId="20" borderId="0" xfId="9" applyFont="1" applyFill="1" applyAlignment="1"/>
    <xf numFmtId="0" fontId="19" fillId="20" borderId="0" xfId="9" applyFont="1" applyFill="1" applyBorder="1" applyAlignment="1">
      <alignment horizontal="center"/>
    </xf>
    <xf numFmtId="0" fontId="112" fillId="20" borderId="0" xfId="9" applyFont="1" applyFill="1" applyBorder="1" applyAlignment="1">
      <alignment horizontal="right"/>
    </xf>
    <xf numFmtId="0" fontId="113" fillId="0" borderId="0" xfId="9" applyFont="1" applyAlignment="1"/>
    <xf numFmtId="0" fontId="19" fillId="20" borderId="0" xfId="9" applyFont="1" applyFill="1" applyBorder="1"/>
    <xf numFmtId="0" fontId="112" fillId="0" borderId="0" xfId="9" applyFont="1" applyAlignment="1"/>
    <xf numFmtId="49" fontId="112" fillId="20" borderId="0" xfId="9" applyNumberFormat="1" applyFont="1" applyFill="1" applyBorder="1" applyAlignment="1">
      <alignment horizontal="center"/>
    </xf>
    <xf numFmtId="0" fontId="19" fillId="0" borderId="0" xfId="9" applyFont="1" applyAlignment="1">
      <alignment horizontal="center" vertical="center"/>
    </xf>
    <xf numFmtId="0" fontId="114" fillId="21" borderId="35" xfId="9" applyFont="1" applyFill="1" applyBorder="1" applyAlignment="1">
      <alignment horizontal="center" vertical="center" wrapText="1"/>
    </xf>
    <xf numFmtId="0" fontId="112" fillId="22" borderId="35" xfId="9" applyFont="1" applyFill="1" applyBorder="1"/>
    <xf numFmtId="0" fontId="19" fillId="22" borderId="35" xfId="9" applyFont="1" applyFill="1" applyBorder="1" applyAlignment="1">
      <alignment horizontal="center"/>
    </xf>
    <xf numFmtId="167" fontId="112" fillId="22" borderId="35" xfId="9" applyNumberFormat="1" applyFont="1" applyFill="1" applyBorder="1" applyAlignment="1">
      <alignment horizontal="center"/>
    </xf>
    <xf numFmtId="0" fontId="19" fillId="20" borderId="35" xfId="9" applyFont="1" applyFill="1" applyBorder="1"/>
    <xf numFmtId="0" fontId="19" fillId="20" borderId="35" xfId="9" applyFont="1" applyFill="1" applyBorder="1" applyAlignment="1">
      <alignment horizontal="center"/>
    </xf>
    <xf numFmtId="168" fontId="19" fillId="20" borderId="35" xfId="9" applyNumberFormat="1" applyFont="1" applyFill="1" applyBorder="1" applyAlignment="1">
      <alignment horizontal="center"/>
    </xf>
    <xf numFmtId="167" fontId="19" fillId="20" borderId="35" xfId="9" applyNumberFormat="1" applyFont="1" applyFill="1" applyBorder="1"/>
    <xf numFmtId="168" fontId="19" fillId="22" borderId="35" xfId="9" applyNumberFormat="1" applyFont="1" applyFill="1" applyBorder="1" applyAlignment="1">
      <alignment horizontal="center"/>
    </xf>
    <xf numFmtId="179" fontId="19" fillId="20" borderId="35" xfId="9" applyNumberFormat="1" applyFont="1" applyFill="1" applyBorder="1" applyAlignment="1">
      <alignment horizontal="center"/>
    </xf>
    <xf numFmtId="170" fontId="19" fillId="0" borderId="35" xfId="10" applyFont="1" applyFill="1" applyBorder="1" applyAlignment="1" applyProtection="1">
      <alignment horizontal="center"/>
    </xf>
    <xf numFmtId="0" fontId="19" fillId="0" borderId="35" xfId="9" applyFont="1" applyFill="1" applyBorder="1" applyAlignment="1">
      <alignment horizontal="center"/>
    </xf>
    <xf numFmtId="167" fontId="19" fillId="20" borderId="35" xfId="9" applyNumberFormat="1" applyFont="1" applyFill="1" applyBorder="1" applyAlignment="1">
      <alignment horizontal="center"/>
    </xf>
    <xf numFmtId="170" fontId="19" fillId="20" borderId="35" xfId="10" applyFont="1" applyFill="1" applyBorder="1" applyAlignment="1" applyProtection="1">
      <alignment horizontal="center"/>
    </xf>
    <xf numFmtId="0" fontId="19" fillId="0" borderId="35" xfId="9" applyFont="1" applyFill="1" applyBorder="1"/>
    <xf numFmtId="49" fontId="19" fillId="0" borderId="35" xfId="9" applyNumberFormat="1" applyFont="1" applyFill="1" applyBorder="1" applyAlignment="1">
      <alignment horizontal="center"/>
    </xf>
    <xf numFmtId="0" fontId="19" fillId="0" borderId="35" xfId="9" applyFont="1" applyBorder="1" applyAlignment="1">
      <alignment horizontal="center"/>
    </xf>
    <xf numFmtId="173" fontId="19" fillId="0" borderId="35" xfId="9" applyNumberFormat="1" applyFont="1" applyBorder="1" applyAlignment="1">
      <alignment horizontal="center"/>
    </xf>
    <xf numFmtId="0" fontId="112" fillId="20" borderId="35" xfId="9" applyFont="1" applyFill="1" applyBorder="1" applyAlignment="1">
      <alignment horizontal="center"/>
    </xf>
    <xf numFmtId="0" fontId="112" fillId="0" borderId="35" xfId="9" applyFont="1" applyFill="1" applyBorder="1" applyAlignment="1">
      <alignment horizontal="center"/>
    </xf>
    <xf numFmtId="0" fontId="19" fillId="0" borderId="35" xfId="9" applyFont="1" applyBorder="1" applyAlignment="1"/>
    <xf numFmtId="180" fontId="19" fillId="22" borderId="35" xfId="9" applyNumberFormat="1" applyFont="1" applyFill="1" applyBorder="1" applyAlignment="1">
      <alignment horizontal="center"/>
    </xf>
    <xf numFmtId="168" fontId="112" fillId="0" borderId="35" xfId="9" applyNumberFormat="1" applyFont="1" applyFill="1" applyBorder="1" applyAlignment="1">
      <alignment horizontal="center"/>
    </xf>
    <xf numFmtId="167" fontId="19" fillId="0" borderId="35" xfId="9" applyNumberFormat="1" applyFont="1" applyFill="1" applyBorder="1" applyAlignment="1">
      <alignment horizontal="center"/>
    </xf>
    <xf numFmtId="0" fontId="19" fillId="0" borderId="0" xfId="9" applyFont="1" applyFill="1" applyAlignment="1"/>
    <xf numFmtId="0" fontId="21" fillId="0" borderId="0" xfId="9" applyFont="1" applyFill="1" applyAlignment="1"/>
    <xf numFmtId="168" fontId="19" fillId="0" borderId="35" xfId="9" applyNumberFormat="1" applyFont="1" applyFill="1" applyBorder="1" applyAlignment="1">
      <alignment horizontal="center"/>
    </xf>
    <xf numFmtId="181" fontId="19" fillId="0" borderId="35" xfId="9" applyNumberFormat="1" applyFont="1" applyFill="1" applyBorder="1" applyAlignment="1">
      <alignment horizontal="left"/>
    </xf>
    <xf numFmtId="182" fontId="19" fillId="0" borderId="35" xfId="10" applyNumberFormat="1" applyFont="1" applyFill="1" applyBorder="1" applyAlignment="1" applyProtection="1">
      <alignment horizontal="center"/>
    </xf>
    <xf numFmtId="170" fontId="21" fillId="0" borderId="35" xfId="10" applyFill="1" applyBorder="1" applyAlignment="1">
      <alignment horizontal="center"/>
    </xf>
    <xf numFmtId="0" fontId="21" fillId="0" borderId="0" xfId="9" applyFont="1" applyFill="1" applyAlignment="1">
      <alignment horizontal="center"/>
    </xf>
    <xf numFmtId="168" fontId="112" fillId="0" borderId="35" xfId="9" applyNumberFormat="1" applyFont="1" applyBorder="1" applyAlignment="1">
      <alignment horizontal="center"/>
    </xf>
    <xf numFmtId="168" fontId="19" fillId="0" borderId="35" xfId="9" applyNumberFormat="1" applyFont="1" applyBorder="1" applyAlignment="1">
      <alignment horizontal="center"/>
    </xf>
    <xf numFmtId="173" fontId="19" fillId="20" borderId="35" xfId="9" applyNumberFormat="1" applyFont="1" applyFill="1" applyBorder="1" applyAlignment="1">
      <alignment horizontal="center"/>
    </xf>
    <xf numFmtId="0" fontId="114" fillId="21" borderId="35" xfId="9" applyFont="1" applyFill="1" applyBorder="1"/>
    <xf numFmtId="0" fontId="114" fillId="21" borderId="35" xfId="9" applyFont="1" applyFill="1" applyBorder="1" applyAlignment="1">
      <alignment horizontal="center"/>
    </xf>
    <xf numFmtId="168" fontId="19" fillId="21" borderId="35" xfId="9" applyNumberFormat="1" applyFont="1" applyFill="1" applyBorder="1" applyAlignment="1">
      <alignment horizontal="center"/>
    </xf>
    <xf numFmtId="167" fontId="114" fillId="21" borderId="35" xfId="9" applyNumberFormat="1" applyFont="1" applyFill="1" applyBorder="1" applyAlignment="1">
      <alignment horizontal="center"/>
    </xf>
    <xf numFmtId="0" fontId="19" fillId="0" borderId="0" xfId="9" applyFont="1" applyAlignment="1">
      <alignment horizontal="center"/>
    </xf>
    <xf numFmtId="0" fontId="115" fillId="0" borderId="0" xfId="9" applyFont="1" applyFill="1" applyAlignment="1"/>
    <xf numFmtId="0" fontId="19" fillId="0" borderId="0" xfId="9" applyFont="1" applyFill="1" applyAlignment="1">
      <alignment horizontal="center"/>
    </xf>
    <xf numFmtId="0" fontId="33" fillId="0" borderId="0" xfId="9" applyFont="1" applyFill="1" applyAlignment="1"/>
    <xf numFmtId="0" fontId="33" fillId="0" borderId="0" xfId="9" applyFont="1" applyAlignment="1"/>
    <xf numFmtId="167" fontId="21" fillId="0" borderId="0" xfId="9" applyNumberFormat="1" applyFont="1" applyAlignment="1"/>
    <xf numFmtId="183" fontId="21" fillId="0" borderId="0" xfId="9" applyNumberFormat="1" applyFont="1" applyAlignment="1"/>
    <xf numFmtId="10" fontId="36" fillId="0" borderId="1" xfId="33" applyNumberFormat="1" applyFont="1" applyFill="1" applyBorder="1" applyAlignment="1">
      <alignment horizontal="center" vertical="center"/>
    </xf>
    <xf numFmtId="174" fontId="36" fillId="0" borderId="1" xfId="33" applyNumberFormat="1" applyFont="1" applyFill="1" applyBorder="1" applyAlignment="1">
      <alignment horizontal="center" vertical="center"/>
    </xf>
    <xf numFmtId="0" fontId="1" fillId="8" borderId="1" xfId="1" applyFont="1" applyFill="1" applyBorder="1" applyAlignment="1">
      <alignment vertical="center" wrapText="1"/>
    </xf>
    <xf numFmtId="49" fontId="36" fillId="0" borderId="1" xfId="33" applyNumberFormat="1" applyFont="1" applyFill="1" applyBorder="1" applyAlignment="1">
      <alignment horizontal="center" vertical="center"/>
    </xf>
    <xf numFmtId="0" fontId="69" fillId="0" borderId="1" xfId="1" applyFont="1" applyFill="1" applyBorder="1" applyAlignment="1">
      <alignment horizontal="center" vertical="center" wrapText="1"/>
    </xf>
    <xf numFmtId="0" fontId="69" fillId="8" borderId="1" xfId="1" applyFont="1" applyFill="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top"/>
    </xf>
    <xf numFmtId="0" fontId="0" fillId="0" borderId="0" xfId="0" applyAlignment="1">
      <alignment vertical="center"/>
    </xf>
    <xf numFmtId="0" fontId="36" fillId="8" borderId="0" xfId="1" applyFont="1" applyFill="1" applyBorder="1" applyAlignment="1">
      <alignment vertical="center"/>
    </xf>
    <xf numFmtId="0" fontId="67" fillId="0" borderId="0" xfId="20" applyFont="1"/>
    <xf numFmtId="0" fontId="67" fillId="0" borderId="0" xfId="20" applyFont="1" applyAlignment="1">
      <alignment horizontal="center" vertical="center" wrapText="1"/>
    </xf>
    <xf numFmtId="0" fontId="67" fillId="0" borderId="0" xfId="20" applyFont="1" applyAlignment="1">
      <alignment horizontal="center" vertical="center"/>
    </xf>
    <xf numFmtId="44" fontId="67" fillId="0" borderId="0" xfId="19" applyFont="1" applyBorder="1"/>
    <xf numFmtId="0" fontId="116" fillId="23" borderId="0" xfId="21" applyFont="1" applyFill="1" applyBorder="1" applyAlignment="1"/>
    <xf numFmtId="0" fontId="69" fillId="8" borderId="0" xfId="20" applyFont="1" applyFill="1" applyBorder="1" applyAlignment="1">
      <alignment horizontal="center" vertical="center" wrapText="1"/>
    </xf>
    <xf numFmtId="0" fontId="69" fillId="8" borderId="0" xfId="20" applyFont="1" applyFill="1" applyBorder="1" applyAlignment="1">
      <alignment horizontal="center" vertical="center"/>
    </xf>
    <xf numFmtId="44" fontId="69" fillId="8" borderId="0" xfId="19" applyFont="1" applyFill="1" applyBorder="1" applyAlignment="1">
      <alignment horizontal="right" vertical="center"/>
    </xf>
    <xf numFmtId="0" fontId="117" fillId="0" borderId="0" xfId="21" applyFont="1" applyBorder="1" applyAlignment="1"/>
    <xf numFmtId="44" fontId="69" fillId="8" borderId="0" xfId="19" applyFont="1" applyFill="1" applyBorder="1" applyAlignment="1">
      <alignment vertical="center"/>
    </xf>
    <xf numFmtId="0" fontId="36" fillId="23" borderId="0" xfId="21" applyFont="1" applyFill="1" applyBorder="1" applyAlignment="1"/>
    <xf numFmtId="0" fontId="75" fillId="8" borderId="0" xfId="20" applyFont="1" applyFill="1" applyBorder="1" applyAlignment="1">
      <alignment vertical="center"/>
    </xf>
    <xf numFmtId="0" fontId="76" fillId="0" borderId="0" xfId="20" applyFont="1"/>
    <xf numFmtId="0" fontId="76" fillId="0" borderId="0" xfId="20" applyFont="1" applyAlignment="1">
      <alignment horizontal="center" vertical="center"/>
    </xf>
    <xf numFmtId="44" fontId="76" fillId="0" borderId="0" xfId="19" applyFont="1" applyBorder="1" applyAlignment="1">
      <alignment horizontal="center"/>
    </xf>
    <xf numFmtId="49" fontId="69" fillId="8" borderId="0" xfId="20" applyNumberFormat="1" applyFont="1" applyFill="1" applyBorder="1" applyAlignment="1">
      <alignment horizontal="center" vertical="center"/>
    </xf>
    <xf numFmtId="49" fontId="69" fillId="8" borderId="0" xfId="20" applyNumberFormat="1" applyFont="1" applyFill="1" applyBorder="1" applyAlignment="1">
      <alignment horizontal="center" vertical="center" wrapText="1"/>
    </xf>
    <xf numFmtId="44" fontId="69" fillId="8" borderId="0" xfId="19" applyFont="1" applyFill="1" applyBorder="1" applyAlignment="1">
      <alignment horizontal="center" vertical="center"/>
    </xf>
    <xf numFmtId="0" fontId="37" fillId="0" borderId="0" xfId="20" applyFont="1"/>
    <xf numFmtId="0" fontId="35" fillId="14" borderId="1" xfId="20" applyFont="1" applyFill="1" applyBorder="1" applyAlignment="1">
      <alignment horizontal="center" vertical="center" wrapText="1"/>
    </xf>
    <xf numFmtId="0" fontId="36" fillId="15" borderId="29" xfId="20" applyFont="1" applyFill="1" applyBorder="1" applyAlignment="1">
      <alignment vertical="center"/>
    </xf>
    <xf numFmtId="0" fontId="36" fillId="15" borderId="1" xfId="20" applyFont="1" applyFill="1" applyBorder="1" applyAlignment="1">
      <alignment horizontal="center" vertical="center" wrapText="1"/>
    </xf>
    <xf numFmtId="0" fontId="36" fillId="15" borderId="1" xfId="20" applyFont="1" applyFill="1" applyBorder="1" applyAlignment="1">
      <alignment horizontal="center" vertical="center"/>
    </xf>
    <xf numFmtId="44" fontId="36" fillId="15" borderId="39" xfId="19" applyFont="1" applyFill="1" applyBorder="1" applyAlignment="1">
      <alignment horizontal="center" vertical="center"/>
    </xf>
    <xf numFmtId="0" fontId="1" fillId="0" borderId="0" xfId="20"/>
    <xf numFmtId="0" fontId="1" fillId="8" borderId="29" xfId="20" applyFont="1" applyFill="1" applyBorder="1" applyAlignment="1">
      <alignment vertical="center"/>
    </xf>
    <xf numFmtId="0" fontId="36" fillId="8" borderId="1" xfId="20" applyFont="1" applyFill="1" applyBorder="1" applyAlignment="1">
      <alignment horizontal="center" vertical="center" wrapText="1"/>
    </xf>
    <xf numFmtId="0" fontId="36" fillId="8" borderId="1" xfId="20" applyFont="1" applyFill="1" applyBorder="1" applyAlignment="1">
      <alignment horizontal="center" vertical="center"/>
    </xf>
    <xf numFmtId="9" fontId="36" fillId="8" borderId="1" xfId="22" applyFont="1" applyFill="1" applyBorder="1" applyAlignment="1">
      <alignment horizontal="center" vertical="center"/>
    </xf>
    <xf numFmtId="44" fontId="36" fillId="8" borderId="39" xfId="19" applyFont="1" applyFill="1" applyBorder="1" applyAlignment="1">
      <alignment horizontal="center" vertical="center"/>
    </xf>
    <xf numFmtId="9" fontId="36" fillId="15" borderId="1" xfId="22" applyFont="1" applyFill="1" applyBorder="1" applyAlignment="1">
      <alignment horizontal="center" vertical="center"/>
    </xf>
    <xf numFmtId="0" fontId="67" fillId="0" borderId="29" xfId="23" applyFont="1" applyFill="1" applyBorder="1" applyAlignment="1">
      <alignment horizontal="left" vertical="center" wrapText="1"/>
    </xf>
    <xf numFmtId="0" fontId="1" fillId="8" borderId="1" xfId="20" applyFont="1" applyFill="1" applyBorder="1" applyAlignment="1">
      <alignment horizontal="center" vertical="center" wrapText="1"/>
    </xf>
    <xf numFmtId="0" fontId="1" fillId="8" borderId="1" xfId="20" applyFont="1" applyFill="1" applyBorder="1" applyAlignment="1">
      <alignment horizontal="center" vertical="center"/>
    </xf>
    <xf numFmtId="173" fontId="1" fillId="8" borderId="1" xfId="22" applyNumberFormat="1" applyFont="1" applyFill="1" applyBorder="1" applyAlignment="1">
      <alignment horizontal="center" vertical="center"/>
    </xf>
    <xf numFmtId="10" fontId="1" fillId="8" borderId="1" xfId="22" applyNumberFormat="1" applyFont="1" applyFill="1" applyBorder="1" applyAlignment="1">
      <alignment horizontal="center" vertical="center"/>
    </xf>
    <xf numFmtId="9" fontId="1" fillId="0" borderId="1" xfId="22" applyFont="1" applyFill="1" applyBorder="1" applyAlignment="1">
      <alignment horizontal="center" vertical="center"/>
    </xf>
    <xf numFmtId="0" fontId="1" fillId="0" borderId="0" xfId="20" applyFont="1" applyBorder="1" applyAlignment="1">
      <alignment horizontal="center" vertical="center" wrapText="1"/>
    </xf>
    <xf numFmtId="0" fontId="0" fillId="8" borderId="1" xfId="20" applyFont="1" applyFill="1" applyBorder="1" applyAlignment="1">
      <alignment horizontal="center" vertical="center" wrapText="1"/>
    </xf>
    <xf numFmtId="44" fontId="1" fillId="0" borderId="39" xfId="19" applyFont="1" applyBorder="1"/>
    <xf numFmtId="43" fontId="118" fillId="0" borderId="0" xfId="24" applyFont="1"/>
    <xf numFmtId="0" fontId="118" fillId="0" borderId="0" xfId="20" applyFont="1"/>
    <xf numFmtId="0" fontId="1" fillId="0" borderId="1" xfId="20" applyFont="1" applyBorder="1" applyAlignment="1">
      <alignment horizontal="center" vertical="center" wrapText="1"/>
    </xf>
    <xf numFmtId="9" fontId="0" fillId="8" borderId="1" xfId="22" applyFont="1" applyFill="1" applyBorder="1" applyAlignment="1">
      <alignment horizontal="center" vertical="center" wrapText="1"/>
    </xf>
    <xf numFmtId="9" fontId="1" fillId="8" borderId="1" xfId="22" applyFont="1" applyFill="1" applyBorder="1" applyAlignment="1">
      <alignment horizontal="center" vertical="center"/>
    </xf>
    <xf numFmtId="0" fontId="0" fillId="0" borderId="1" xfId="20" applyFont="1" applyBorder="1" applyAlignment="1">
      <alignment horizontal="center" vertical="center" wrapText="1"/>
    </xf>
    <xf numFmtId="174" fontId="1" fillId="8" borderId="1" xfId="22" applyNumberFormat="1" applyFont="1" applyFill="1" applyBorder="1" applyAlignment="1">
      <alignment horizontal="center" vertical="center"/>
    </xf>
    <xf numFmtId="0" fontId="67" fillId="8" borderId="29" xfId="23" applyFont="1" applyFill="1" applyBorder="1" applyAlignment="1">
      <alignment horizontal="left" vertical="center" wrapText="1"/>
    </xf>
    <xf numFmtId="9" fontId="0" fillId="8" borderId="1" xfId="22" applyFont="1" applyFill="1" applyBorder="1" applyAlignment="1">
      <alignment horizontal="center" vertical="center"/>
    </xf>
    <xf numFmtId="9" fontId="1" fillId="0" borderId="1" xfId="22" applyFont="1" applyFill="1" applyBorder="1" applyAlignment="1">
      <alignment horizontal="center" vertical="center" wrapText="1"/>
    </xf>
    <xf numFmtId="174" fontId="1" fillId="0" borderId="1" xfId="20" applyNumberFormat="1" applyFont="1" applyBorder="1" applyAlignment="1">
      <alignment horizontal="center" vertical="center"/>
    </xf>
    <xf numFmtId="44" fontId="0" fillId="0" borderId="39" xfId="19" applyFont="1" applyBorder="1"/>
    <xf numFmtId="9" fontId="1" fillId="8" borderId="1" xfId="22" applyFont="1" applyFill="1" applyBorder="1" applyAlignment="1">
      <alignment horizontal="center" vertical="center" wrapText="1"/>
    </xf>
    <xf numFmtId="0" fontId="69" fillId="15" borderId="29" xfId="20" applyFont="1" applyFill="1" applyBorder="1" applyAlignment="1">
      <alignment vertical="center"/>
    </xf>
    <xf numFmtId="0" fontId="69" fillId="15" borderId="1" xfId="20" applyFont="1" applyFill="1" applyBorder="1" applyAlignment="1">
      <alignment horizontal="center" vertical="center" wrapText="1"/>
    </xf>
    <xf numFmtId="0" fontId="69" fillId="15" borderId="1" xfId="20" applyFont="1" applyFill="1" applyBorder="1" applyAlignment="1">
      <alignment horizontal="center" vertical="center"/>
    </xf>
    <xf numFmtId="9" fontId="69" fillId="15" borderId="1" xfId="22" applyFont="1" applyFill="1" applyBorder="1" applyAlignment="1">
      <alignment horizontal="center" vertical="center"/>
    </xf>
    <xf numFmtId="44" fontId="69" fillId="15" borderId="39" xfId="19" applyFont="1" applyFill="1" applyBorder="1" applyAlignment="1">
      <alignment horizontal="center" vertical="center"/>
    </xf>
    <xf numFmtId="0" fontId="69" fillId="8" borderId="1" xfId="20" applyFont="1" applyFill="1" applyBorder="1" applyAlignment="1">
      <alignment horizontal="center" vertical="center" wrapText="1"/>
    </xf>
    <xf numFmtId="0" fontId="69" fillId="8" borderId="1" xfId="20" applyFont="1" applyFill="1" applyBorder="1" applyAlignment="1">
      <alignment horizontal="center" vertical="center"/>
    </xf>
    <xf numFmtId="9" fontId="69" fillId="8" borderId="1" xfId="22" applyFont="1" applyFill="1" applyBorder="1" applyAlignment="1">
      <alignment horizontal="center" vertical="center"/>
    </xf>
    <xf numFmtId="44" fontId="69" fillId="8" borderId="39" xfId="19" applyFont="1" applyFill="1" applyBorder="1" applyAlignment="1">
      <alignment horizontal="center" vertical="center"/>
    </xf>
    <xf numFmtId="0" fontId="0" fillId="8" borderId="1" xfId="20" applyFont="1" applyFill="1" applyBorder="1" applyAlignment="1">
      <alignment horizontal="center" vertical="center"/>
    </xf>
    <xf numFmtId="0" fontId="36" fillId="8" borderId="29" xfId="20" applyFont="1" applyFill="1" applyBorder="1" applyAlignment="1">
      <alignment vertical="center"/>
    </xf>
    <xf numFmtId="44" fontId="1" fillId="8" borderId="39" xfId="19" applyFont="1" applyFill="1" applyBorder="1" applyAlignment="1">
      <alignment horizontal="center" vertical="center"/>
    </xf>
    <xf numFmtId="0" fontId="69" fillId="8" borderId="29" xfId="20" applyFont="1" applyFill="1" applyBorder="1" applyAlignment="1">
      <alignment vertical="center"/>
    </xf>
    <xf numFmtId="0" fontId="35" fillId="14" borderId="40" xfId="20" applyFont="1" applyFill="1" applyBorder="1" applyAlignment="1">
      <alignment horizontal="left" vertical="center"/>
    </xf>
    <xf numFmtId="0" fontId="35" fillId="14" borderId="16" xfId="20" applyFont="1" applyFill="1" applyBorder="1" applyAlignment="1">
      <alignment horizontal="center" vertical="center" wrapText="1"/>
    </xf>
    <xf numFmtId="0" fontId="35" fillId="14" borderId="16" xfId="20" applyFont="1" applyFill="1" applyBorder="1" applyAlignment="1">
      <alignment horizontal="center" vertical="center"/>
    </xf>
    <xf numFmtId="9" fontId="35" fillId="14" borderId="16" xfId="22" applyFont="1" applyFill="1" applyBorder="1" applyAlignment="1">
      <alignment horizontal="center" vertical="center"/>
    </xf>
    <xf numFmtId="44" fontId="35" fillId="14" borderId="41" xfId="19" applyFont="1" applyFill="1" applyBorder="1" applyAlignment="1">
      <alignment horizontal="center" vertical="center"/>
    </xf>
    <xf numFmtId="0" fontId="1" fillId="8" borderId="0" xfId="20" applyFont="1" applyFill="1" applyBorder="1" applyAlignment="1">
      <alignment horizontal="left" vertical="center"/>
    </xf>
    <xf numFmtId="0" fontId="1" fillId="8" borderId="0" xfId="20" applyFont="1" applyFill="1" applyBorder="1" applyAlignment="1">
      <alignment horizontal="center" vertical="center" wrapText="1"/>
    </xf>
    <xf numFmtId="0" fontId="1" fillId="8" borderId="0" xfId="20" applyFont="1" applyFill="1" applyBorder="1" applyAlignment="1">
      <alignment horizontal="center" vertical="center"/>
    </xf>
    <xf numFmtId="44" fontId="1" fillId="8" borderId="0" xfId="19" applyFont="1" applyFill="1" applyBorder="1" applyAlignment="1">
      <alignment vertical="center"/>
    </xf>
    <xf numFmtId="0" fontId="0" fillId="0" borderId="0" xfId="20" applyFont="1"/>
    <xf numFmtId="0" fontId="1" fillId="0" borderId="0" xfId="20" applyAlignment="1">
      <alignment horizontal="center" vertical="center" wrapText="1"/>
    </xf>
    <xf numFmtId="0" fontId="1" fillId="0" borderId="0" xfId="20" applyAlignment="1">
      <alignment horizontal="center" vertical="center"/>
    </xf>
    <xf numFmtId="44" fontId="1" fillId="0" borderId="0" xfId="19" applyFont="1" applyBorder="1"/>
    <xf numFmtId="0" fontId="45" fillId="0" borderId="0" xfId="0" applyFont="1"/>
    <xf numFmtId="0" fontId="36" fillId="8" borderId="1" xfId="1" applyFont="1" applyFill="1" applyBorder="1" applyAlignment="1">
      <alignment horizontal="left" vertical="center"/>
    </xf>
    <xf numFmtId="42" fontId="36" fillId="8" borderId="1" xfId="33" applyNumberFormat="1" applyFont="1" applyFill="1" applyBorder="1" applyAlignment="1">
      <alignment horizontal="center"/>
    </xf>
    <xf numFmtId="44" fontId="36" fillId="8" borderId="1" xfId="1" applyNumberFormat="1" applyFont="1" applyFill="1" applyBorder="1" applyAlignment="1">
      <alignment horizontal="center" vertical="center"/>
    </xf>
    <xf numFmtId="44" fontId="36" fillId="8" borderId="7" xfId="32" applyFont="1" applyFill="1" applyBorder="1" applyAlignment="1">
      <alignment horizontal="center" vertical="center"/>
    </xf>
    <xf numFmtId="44" fontId="36" fillId="8" borderId="24" xfId="32" applyFont="1" applyFill="1" applyBorder="1" applyAlignment="1">
      <alignment horizontal="center" vertical="center"/>
    </xf>
    <xf numFmtId="44" fontId="36" fillId="8" borderId="6" xfId="32" applyFont="1" applyFill="1" applyBorder="1" applyAlignment="1">
      <alignment horizontal="center" vertical="center"/>
    </xf>
    <xf numFmtId="9" fontId="101" fillId="8" borderId="6" xfId="33" applyFont="1" applyFill="1" applyBorder="1" applyAlignment="1">
      <alignment horizontal="center" vertical="center" wrapText="1"/>
    </xf>
    <xf numFmtId="42" fontId="36" fillId="8" borderId="1" xfId="33" applyNumberFormat="1" applyFont="1" applyFill="1" applyBorder="1" applyAlignment="1">
      <alignment horizontal="center" vertical="center"/>
    </xf>
    <xf numFmtId="0" fontId="116" fillId="8" borderId="6" xfId="1" applyFont="1" applyFill="1" applyBorder="1" applyAlignment="1">
      <alignment horizontal="left" vertical="center" wrapText="1"/>
    </xf>
    <xf numFmtId="0" fontId="36" fillId="8" borderId="7" xfId="1" applyFont="1" applyFill="1" applyBorder="1" applyAlignment="1">
      <alignment vertical="center"/>
    </xf>
    <xf numFmtId="10" fontId="36" fillId="8" borderId="6" xfId="33" applyNumberFormat="1" applyFont="1" applyFill="1" applyBorder="1" applyAlignment="1">
      <alignment horizontal="center" vertical="center" wrapText="1"/>
    </xf>
    <xf numFmtId="6" fontId="36" fillId="8" borderId="1" xfId="1" applyNumberFormat="1" applyFont="1" applyFill="1" applyBorder="1" applyAlignment="1">
      <alignment horizontal="center" vertical="center"/>
    </xf>
    <xf numFmtId="0" fontId="0" fillId="8" borderId="6" xfId="1" applyFont="1" applyFill="1" applyBorder="1" applyAlignment="1">
      <alignment horizontal="left" vertical="center" wrapText="1"/>
    </xf>
    <xf numFmtId="0" fontId="36" fillId="8" borderId="24" xfId="1" applyFont="1" applyFill="1" applyBorder="1" applyAlignment="1">
      <alignment vertical="center"/>
    </xf>
    <xf numFmtId="44" fontId="36" fillId="8" borderId="1" xfId="1" applyNumberFormat="1" applyFont="1" applyFill="1" applyBorder="1" applyAlignment="1">
      <alignment horizontal="right" vertical="center"/>
    </xf>
    <xf numFmtId="10" fontId="36" fillId="8" borderId="1" xfId="33" applyNumberFormat="1" applyFont="1" applyFill="1" applyBorder="1" applyAlignment="1">
      <alignment horizontal="center" vertical="center" wrapText="1"/>
    </xf>
    <xf numFmtId="184" fontId="36" fillId="8" borderId="1" xfId="33" applyNumberFormat="1" applyFont="1" applyFill="1" applyBorder="1" applyAlignment="1">
      <alignment horizontal="center" vertical="center"/>
    </xf>
    <xf numFmtId="0" fontId="36" fillId="8" borderId="24" xfId="1" applyFont="1" applyFill="1" applyBorder="1" applyAlignment="1">
      <alignment horizontal="center" vertical="center" wrapText="1"/>
    </xf>
    <xf numFmtId="0" fontId="36" fillId="8" borderId="6" xfId="1" applyFont="1" applyFill="1" applyBorder="1" applyAlignment="1">
      <alignment vertical="center"/>
    </xf>
    <xf numFmtId="174" fontId="36" fillId="8" borderId="6" xfId="33" applyNumberFormat="1" applyFont="1" applyFill="1" applyBorder="1" applyAlignment="1">
      <alignment horizontal="center" vertical="center" wrapText="1"/>
    </xf>
    <xf numFmtId="0" fontId="36" fillId="8" borderId="6" xfId="1" applyFont="1" applyFill="1" applyBorder="1" applyAlignment="1">
      <alignment horizontal="left" vertical="center" wrapText="1"/>
    </xf>
    <xf numFmtId="44" fontId="36" fillId="8" borderId="6" xfId="32" applyFont="1" applyFill="1" applyBorder="1" applyAlignment="1">
      <alignment vertical="center"/>
    </xf>
    <xf numFmtId="0" fontId="116" fillId="8" borderId="1" xfId="1" applyFont="1" applyFill="1" applyBorder="1" applyAlignment="1">
      <alignment horizontal="left" vertical="center" wrapText="1"/>
    </xf>
    <xf numFmtId="0" fontId="0" fillId="0" borderId="6" xfId="0" applyBorder="1" applyAlignment="1">
      <alignment horizontal="center" vertical="center"/>
    </xf>
    <xf numFmtId="0" fontId="1" fillId="8" borderId="6" xfId="1" applyFont="1" applyFill="1" applyBorder="1" applyAlignment="1">
      <alignment horizontal="left" vertical="center" wrapText="1"/>
    </xf>
    <xf numFmtId="0" fontId="36" fillId="8" borderId="24" xfId="1" applyFont="1" applyFill="1" applyBorder="1" applyAlignment="1">
      <alignment horizontal="center" vertical="center"/>
    </xf>
    <xf numFmtId="0" fontId="116" fillId="8" borderId="6" xfId="1" applyFont="1" applyFill="1" applyBorder="1" applyAlignment="1">
      <alignment vertical="center" wrapText="1"/>
    </xf>
    <xf numFmtId="9" fontId="36" fillId="8" borderId="6" xfId="33" applyFont="1" applyFill="1" applyBorder="1" applyAlignment="1">
      <alignment horizontal="center" vertical="center" wrapText="1"/>
    </xf>
    <xf numFmtId="0" fontId="1" fillId="8" borderId="6" xfId="1" applyFont="1" applyFill="1" applyBorder="1" applyAlignment="1">
      <alignment vertical="center" wrapText="1"/>
    </xf>
    <xf numFmtId="0" fontId="0" fillId="8" borderId="6" xfId="1" applyFont="1" applyFill="1" applyBorder="1" applyAlignment="1">
      <alignment vertical="center" wrapText="1"/>
    </xf>
    <xf numFmtId="0" fontId="121" fillId="8" borderId="6" xfId="1" applyFont="1" applyFill="1" applyBorder="1" applyAlignment="1">
      <alignment vertical="center" wrapText="1"/>
    </xf>
    <xf numFmtId="44" fontId="36" fillId="15" borderId="1" xfId="1" applyNumberFormat="1" applyFont="1" applyFill="1" applyBorder="1" applyAlignment="1">
      <alignment horizontal="center" vertical="center"/>
    </xf>
    <xf numFmtId="0" fontId="0" fillId="8" borderId="1" xfId="1" applyFont="1" applyFill="1" applyBorder="1" applyAlignment="1">
      <alignment vertical="center"/>
    </xf>
    <xf numFmtId="44" fontId="35" fillId="14" borderId="1" xfId="1" applyNumberFormat="1" applyFont="1" applyFill="1" applyBorder="1" applyAlignment="1">
      <alignment horizontal="center" vertical="center"/>
    </xf>
    <xf numFmtId="169" fontId="67" fillId="0" borderId="0" xfId="0" applyNumberFormat="1" applyFont="1"/>
    <xf numFmtId="169" fontId="69" fillId="8" borderId="0" xfId="1" applyNumberFormat="1" applyFont="1" applyFill="1" applyBorder="1" applyAlignment="1">
      <alignment horizontal="right" vertical="center"/>
    </xf>
    <xf numFmtId="169" fontId="69" fillId="8" borderId="0" xfId="1" applyNumberFormat="1" applyFont="1" applyFill="1" applyBorder="1" applyAlignment="1">
      <alignment vertical="center"/>
    </xf>
    <xf numFmtId="169" fontId="76" fillId="0" borderId="0" xfId="0" applyNumberFormat="1" applyFont="1" applyAlignment="1">
      <alignment horizontal="center"/>
    </xf>
    <xf numFmtId="169" fontId="69" fillId="8" borderId="0" xfId="1" applyNumberFormat="1" applyFont="1" applyFill="1" applyBorder="1" applyAlignment="1">
      <alignment horizontal="center" vertical="center"/>
    </xf>
    <xf numFmtId="0" fontId="36" fillId="15" borderId="1" xfId="1" applyFont="1" applyFill="1" applyBorder="1" applyAlignment="1">
      <alignment horizontal="center" vertical="center" wrapText="1"/>
    </xf>
    <xf numFmtId="169" fontId="36" fillId="15" borderId="1" xfId="32" applyNumberFormat="1" applyFont="1" applyFill="1" applyBorder="1" applyAlignment="1">
      <alignment horizontal="center" vertical="center"/>
    </xf>
    <xf numFmtId="0" fontId="116" fillId="8" borderId="1" xfId="1" applyFont="1" applyFill="1" applyBorder="1" applyAlignment="1">
      <alignment vertical="center"/>
    </xf>
    <xf numFmtId="169" fontId="36" fillId="8" borderId="1" xfId="32" applyNumberFormat="1" applyFont="1" applyFill="1" applyBorder="1" applyAlignment="1">
      <alignment horizontal="center" vertical="center"/>
    </xf>
    <xf numFmtId="185" fontId="36" fillId="8" borderId="1" xfId="1" applyNumberFormat="1" applyFont="1" applyFill="1" applyBorder="1" applyAlignment="1">
      <alignment horizontal="center" vertical="center"/>
    </xf>
    <xf numFmtId="0" fontId="88" fillId="8" borderId="1" xfId="1" applyFont="1" applyFill="1" applyBorder="1" applyAlignment="1">
      <alignment horizontal="center" vertical="center" wrapText="1"/>
    </xf>
    <xf numFmtId="169" fontId="69" fillId="15" borderId="1" xfId="32" applyNumberFormat="1" applyFont="1" applyFill="1" applyBorder="1" applyAlignment="1">
      <alignment horizontal="center" vertical="center"/>
    </xf>
    <xf numFmtId="185" fontId="116" fillId="8" borderId="1" xfId="1" applyNumberFormat="1" applyFont="1" applyFill="1" applyBorder="1" applyAlignment="1">
      <alignment horizontal="center" vertical="center"/>
    </xf>
    <xf numFmtId="0" fontId="108" fillId="0" borderId="1" xfId="0" applyFont="1" applyBorder="1" applyAlignment="1">
      <alignment vertical="center" wrapText="1"/>
    </xf>
    <xf numFmtId="0" fontId="101" fillId="0" borderId="1" xfId="0" applyFont="1" applyBorder="1" applyAlignment="1">
      <alignment vertical="center"/>
    </xf>
    <xf numFmtId="0" fontId="108" fillId="0" borderId="1" xfId="0" applyFont="1" applyBorder="1" applyAlignment="1">
      <alignment vertical="center"/>
    </xf>
    <xf numFmtId="169" fontId="69" fillId="8" borderId="1" xfId="32" applyNumberFormat="1" applyFont="1" applyFill="1" applyBorder="1" applyAlignment="1">
      <alignment horizontal="center" vertical="center"/>
    </xf>
    <xf numFmtId="185" fontId="36" fillId="0" borderId="1" xfId="0" applyNumberFormat="1" applyFont="1" applyBorder="1" applyAlignment="1">
      <alignment horizontal="center"/>
    </xf>
    <xf numFmtId="0" fontId="0" fillId="15" borderId="1" xfId="0" applyFill="1" applyBorder="1"/>
    <xf numFmtId="169" fontId="0" fillId="15" borderId="1" xfId="0" applyNumberFormat="1" applyFill="1" applyBorder="1"/>
    <xf numFmtId="185" fontId="36" fillId="15" borderId="1" xfId="1" applyNumberFormat="1" applyFont="1" applyFill="1" applyBorder="1" applyAlignment="1">
      <alignment horizontal="center" vertical="center"/>
    </xf>
    <xf numFmtId="169" fontId="35" fillId="14" borderId="1" xfId="32" applyNumberFormat="1" applyFont="1" applyFill="1" applyBorder="1" applyAlignment="1">
      <alignment horizontal="center" vertical="center"/>
    </xf>
    <xf numFmtId="169" fontId="0" fillId="0" borderId="0" xfId="0" applyNumberFormat="1"/>
    <xf numFmtId="186" fontId="1" fillId="8" borderId="1" xfId="1" applyNumberFormat="1" applyFont="1" applyFill="1" applyBorder="1" applyAlignment="1">
      <alignment horizontal="center" vertical="center"/>
    </xf>
    <xf numFmtId="186" fontId="1" fillId="0" borderId="1" xfId="1" applyNumberFormat="1" applyFont="1" applyFill="1" applyBorder="1" applyAlignment="1">
      <alignment horizontal="center" vertical="center"/>
    </xf>
    <xf numFmtId="0" fontId="19" fillId="0" borderId="2" xfId="0" applyFont="1" applyBorder="1" applyAlignment="1">
      <alignment vertical="top"/>
    </xf>
    <xf numFmtId="186" fontId="67" fillId="8" borderId="1" xfId="1" applyNumberFormat="1" applyFont="1" applyFill="1" applyBorder="1" applyAlignment="1">
      <alignment horizontal="center" vertical="center"/>
    </xf>
    <xf numFmtId="10" fontId="67" fillId="0" borderId="1" xfId="33" applyNumberFormat="1" applyFont="1" applyFill="1" applyBorder="1" applyAlignment="1">
      <alignment horizontal="center" vertical="center"/>
    </xf>
    <xf numFmtId="186" fontId="36" fillId="8" borderId="1" xfId="1" applyNumberFormat="1" applyFont="1" applyFill="1" applyBorder="1" applyAlignment="1">
      <alignment horizontal="center" vertical="center"/>
    </xf>
    <xf numFmtId="0" fontId="0" fillId="0" borderId="0" xfId="0" applyFont="1" applyAlignment="1"/>
    <xf numFmtId="0" fontId="122" fillId="0" borderId="0" xfId="0" applyFont="1"/>
    <xf numFmtId="0" fontId="69" fillId="0" borderId="0" xfId="0" applyFont="1" applyFill="1"/>
    <xf numFmtId="0" fontId="36" fillId="24" borderId="1" xfId="1" applyFont="1" applyFill="1" applyBorder="1" applyAlignment="1">
      <alignment vertical="center"/>
    </xf>
    <xf numFmtId="0" fontId="36" fillId="24" borderId="1" xfId="1" applyFont="1" applyFill="1" applyBorder="1" applyAlignment="1">
      <alignment horizontal="center" vertical="center"/>
    </xf>
    <xf numFmtId="0" fontId="66" fillId="24" borderId="1" xfId="1" applyFont="1" applyFill="1" applyBorder="1" applyAlignment="1">
      <alignment horizontal="center" vertical="center"/>
    </xf>
    <xf numFmtId="0" fontId="66" fillId="8" borderId="1" xfId="1" applyFont="1" applyFill="1" applyBorder="1" applyAlignment="1">
      <alignment horizontal="center" vertical="center"/>
    </xf>
    <xf numFmtId="187" fontId="69" fillId="24" borderId="1" xfId="1" applyNumberFormat="1" applyFont="1" applyFill="1" applyBorder="1" applyAlignment="1">
      <alignment horizontal="center" vertical="center"/>
    </xf>
    <xf numFmtId="10" fontId="36" fillId="8" borderId="1" xfId="1" applyNumberFormat="1" applyFont="1" applyFill="1" applyBorder="1" applyAlignment="1">
      <alignment horizontal="center" vertical="center"/>
    </xf>
    <xf numFmtId="187" fontId="36" fillId="8" borderId="1" xfId="1" applyNumberFormat="1" applyFont="1" applyFill="1" applyBorder="1" applyAlignment="1">
      <alignment horizontal="center" vertical="center"/>
    </xf>
    <xf numFmtId="187" fontId="69" fillId="0" borderId="1" xfId="0" applyNumberFormat="1" applyFont="1" applyBorder="1" applyAlignment="1">
      <alignment horizontal="center"/>
    </xf>
    <xf numFmtId="0" fontId="36" fillId="8" borderId="1" xfId="0" applyFont="1" applyFill="1" applyBorder="1" applyAlignment="1">
      <alignment vertical="center"/>
    </xf>
    <xf numFmtId="0" fontId="67" fillId="0" borderId="1" xfId="0" applyFont="1" applyBorder="1" applyAlignment="1">
      <alignment vertical="center"/>
    </xf>
    <xf numFmtId="0" fontId="67" fillId="8" borderId="1" xfId="0" applyFont="1" applyFill="1" applyBorder="1" applyAlignment="1">
      <alignment vertical="center"/>
    </xf>
    <xf numFmtId="188" fontId="69" fillId="8" borderId="1" xfId="1" applyNumberFormat="1" applyFont="1" applyFill="1" applyBorder="1" applyAlignment="1">
      <alignment horizontal="center" vertical="center"/>
    </xf>
    <xf numFmtId="0" fontId="0" fillId="8" borderId="1" xfId="0" applyFill="1" applyBorder="1" applyAlignment="1">
      <alignment vertical="center"/>
    </xf>
    <xf numFmtId="189" fontId="36" fillId="8" borderId="1" xfId="1" applyNumberFormat="1" applyFont="1" applyFill="1" applyBorder="1" applyAlignment="1">
      <alignment horizontal="center" vertical="center"/>
    </xf>
    <xf numFmtId="188" fontId="36" fillId="8" borderId="1" xfId="1" applyNumberFormat="1" applyFont="1" applyFill="1" applyBorder="1" applyAlignment="1">
      <alignment horizontal="center" vertical="center"/>
    </xf>
    <xf numFmtId="190" fontId="69" fillId="0" borderId="1" xfId="0" applyNumberFormat="1" applyFont="1" applyBorder="1" applyAlignment="1">
      <alignment horizontal="center"/>
    </xf>
    <xf numFmtId="189" fontId="69" fillId="8" borderId="1" xfId="1" applyNumberFormat="1" applyFont="1" applyFill="1" applyBorder="1" applyAlignment="1">
      <alignment horizontal="center" vertical="center"/>
    </xf>
    <xf numFmtId="0" fontId="69" fillId="24" borderId="1" xfId="1" applyFont="1" applyFill="1" applyBorder="1" applyAlignment="1">
      <alignment vertical="center"/>
    </xf>
    <xf numFmtId="0" fontId="69" fillId="24" borderId="1" xfId="1" applyFont="1" applyFill="1" applyBorder="1" applyAlignment="1">
      <alignment horizontal="center" vertical="center"/>
    </xf>
    <xf numFmtId="0" fontId="67" fillId="8" borderId="0" xfId="0" applyFont="1" applyFill="1"/>
    <xf numFmtId="9" fontId="36" fillId="8" borderId="1" xfId="1" applyNumberFormat="1" applyFont="1" applyFill="1" applyBorder="1" applyAlignment="1">
      <alignment horizontal="center" vertical="center"/>
    </xf>
    <xf numFmtId="191" fontId="36" fillId="8" borderId="1" xfId="1" applyNumberFormat="1" applyFont="1" applyFill="1" applyBorder="1" applyAlignment="1">
      <alignment horizontal="center" vertical="center"/>
    </xf>
    <xf numFmtId="188" fontId="69" fillId="24" borderId="1" xfId="1" applyNumberFormat="1" applyFont="1" applyFill="1" applyBorder="1" applyAlignment="1">
      <alignment horizontal="center" vertical="center"/>
    </xf>
    <xf numFmtId="9" fontId="69" fillId="8" borderId="1" xfId="1" applyNumberFormat="1" applyFont="1" applyFill="1" applyBorder="1" applyAlignment="1">
      <alignment horizontal="center" vertical="center"/>
    </xf>
    <xf numFmtId="188" fontId="69" fillId="14" borderId="1" xfId="1" applyNumberFormat="1" applyFont="1" applyFill="1" applyBorder="1" applyAlignment="1">
      <alignment horizontal="center" vertical="center"/>
    </xf>
    <xf numFmtId="0" fontId="122" fillId="8" borderId="0" xfId="1" applyFont="1" applyFill="1" applyBorder="1" applyAlignment="1">
      <alignment vertical="center"/>
    </xf>
    <xf numFmtId="0" fontId="80" fillId="8" borderId="0" xfId="0" applyFont="1" applyFill="1" applyAlignment="1"/>
    <xf numFmtId="0" fontId="3" fillId="0" borderId="0" xfId="0" applyFont="1" applyAlignment="1"/>
    <xf numFmtId="0" fontId="123" fillId="0" borderId="0" xfId="0" applyFont="1" applyAlignment="1"/>
    <xf numFmtId="0" fontId="123" fillId="0" borderId="0" xfId="0" applyFont="1"/>
    <xf numFmtId="0" fontId="68" fillId="8" borderId="0" xfId="1" applyFont="1" applyFill="1" applyBorder="1" applyAlignment="1">
      <alignment vertical="center"/>
    </xf>
    <xf numFmtId="0" fontId="67" fillId="0" borderId="0" xfId="0" applyFont="1" applyBorder="1"/>
    <xf numFmtId="0" fontId="67" fillId="0" borderId="0" xfId="0" applyFont="1" applyBorder="1" applyAlignment="1"/>
    <xf numFmtId="0" fontId="68" fillId="0" borderId="0" xfId="0" applyFont="1" applyBorder="1"/>
    <xf numFmtId="0" fontId="43" fillId="0" borderId="0" xfId="0" applyFont="1" applyAlignment="1"/>
    <xf numFmtId="0" fontId="70" fillId="14" borderId="1" xfId="1" applyFont="1" applyFill="1" applyBorder="1" applyAlignment="1">
      <alignment vertical="center" wrapText="1"/>
    </xf>
    <xf numFmtId="177" fontId="36" fillId="15" borderId="1" xfId="31" applyNumberFormat="1" applyFont="1" applyFill="1" applyBorder="1" applyAlignment="1">
      <alignment horizontal="center" vertical="center"/>
    </xf>
    <xf numFmtId="177" fontId="36" fillId="8" borderId="1" xfId="31" applyNumberFormat="1" applyFont="1" applyFill="1" applyBorder="1" applyAlignment="1">
      <alignment horizontal="center" vertical="center"/>
    </xf>
    <xf numFmtId="0" fontId="36" fillId="8" borderId="1" xfId="1" applyFont="1" applyFill="1" applyBorder="1" applyAlignment="1">
      <alignment vertical="center" wrapText="1"/>
    </xf>
    <xf numFmtId="174" fontId="36" fillId="8" borderId="1" xfId="1" applyNumberFormat="1" applyFont="1" applyFill="1" applyBorder="1" applyAlignment="1">
      <alignment horizontal="center" vertical="center" wrapText="1"/>
    </xf>
    <xf numFmtId="0" fontId="36" fillId="8" borderId="2" xfId="1" applyFont="1" applyFill="1" applyBorder="1" applyAlignment="1">
      <alignment vertical="center" wrapText="1"/>
    </xf>
    <xf numFmtId="44" fontId="0" fillId="0" borderId="1" xfId="0" applyNumberFormat="1" applyBorder="1"/>
    <xf numFmtId="0" fontId="36" fillId="8" borderId="6" xfId="1" applyFont="1" applyFill="1" applyBorder="1" applyAlignment="1">
      <alignment vertical="center" wrapText="1"/>
    </xf>
    <xf numFmtId="174" fontId="36" fillId="8" borderId="6" xfId="1" applyNumberFormat="1" applyFont="1" applyFill="1" applyBorder="1" applyAlignment="1">
      <alignment horizontal="center" vertical="center" wrapText="1"/>
    </xf>
    <xf numFmtId="0" fontId="36" fillId="8" borderId="32" xfId="1" applyFont="1" applyFill="1" applyBorder="1" applyAlignment="1">
      <alignment vertical="center" wrapText="1"/>
    </xf>
    <xf numFmtId="9" fontId="36" fillId="8" borderId="1" xfId="1" applyNumberFormat="1" applyFont="1" applyFill="1" applyBorder="1" applyAlignment="1">
      <alignment horizontal="center" vertical="center" wrapText="1"/>
    </xf>
    <xf numFmtId="0" fontId="69" fillId="8" borderId="1" xfId="1" applyFont="1" applyFill="1" applyBorder="1" applyAlignment="1">
      <alignment vertical="center" wrapText="1"/>
    </xf>
    <xf numFmtId="8" fontId="36" fillId="8" borderId="1" xfId="1" applyNumberFormat="1" applyFont="1" applyFill="1" applyBorder="1" applyAlignment="1">
      <alignment vertical="center" wrapText="1"/>
    </xf>
    <xf numFmtId="177" fontId="69" fillId="15" borderId="1" xfId="31" applyNumberFormat="1" applyFont="1" applyFill="1" applyBorder="1" applyAlignment="1">
      <alignment horizontal="center" vertical="center"/>
    </xf>
    <xf numFmtId="181" fontId="69" fillId="8" borderId="1" xfId="1" applyNumberFormat="1" applyFont="1" applyFill="1" applyBorder="1" applyAlignment="1">
      <alignment vertical="center" wrapText="1"/>
    </xf>
    <xf numFmtId="0" fontId="36" fillId="8" borderId="7" xfId="1" applyFont="1" applyFill="1" applyBorder="1" applyAlignment="1">
      <alignment vertical="center" wrapText="1"/>
    </xf>
    <xf numFmtId="0" fontId="69" fillId="8" borderId="1" xfId="1" applyFont="1" applyFill="1" applyBorder="1" applyAlignment="1">
      <alignment vertical="top" wrapText="1"/>
    </xf>
    <xf numFmtId="0" fontId="69" fillId="8" borderId="7" xfId="1" applyFont="1" applyFill="1" applyBorder="1" applyAlignment="1">
      <alignment vertical="center" wrapText="1"/>
    </xf>
    <xf numFmtId="0" fontId="69" fillId="8" borderId="7" xfId="1" applyFont="1" applyFill="1" applyBorder="1" applyAlignment="1">
      <alignment horizontal="center" vertical="center" wrapText="1"/>
    </xf>
    <xf numFmtId="177" fontId="67" fillId="0" borderId="1" xfId="31" applyNumberFormat="1" applyFont="1" applyFill="1" applyBorder="1" applyAlignment="1">
      <alignment horizontal="center" vertical="center"/>
    </xf>
    <xf numFmtId="0" fontId="36" fillId="0" borderId="1" xfId="1" applyFont="1" applyFill="1" applyBorder="1" applyAlignment="1">
      <alignment vertical="center" wrapText="1"/>
    </xf>
    <xf numFmtId="0" fontId="69" fillId="0" borderId="1" xfId="1" applyFont="1" applyFill="1" applyBorder="1" applyAlignment="1">
      <alignment vertical="center" wrapText="1"/>
    </xf>
    <xf numFmtId="177" fontId="1" fillId="8" borderId="1" xfId="31" applyNumberFormat="1" applyFont="1" applyFill="1" applyBorder="1" applyAlignment="1">
      <alignment vertical="center"/>
    </xf>
    <xf numFmtId="0" fontId="69" fillId="8" borderId="6" xfId="1" applyFont="1" applyFill="1" applyBorder="1" applyAlignment="1">
      <alignment vertical="center" wrapText="1"/>
    </xf>
    <xf numFmtId="0" fontId="69" fillId="8" borderId="6" xfId="1" applyFont="1" applyFill="1" applyBorder="1" applyAlignment="1">
      <alignment horizontal="center" vertical="center" wrapText="1"/>
    </xf>
    <xf numFmtId="177" fontId="69" fillId="15" borderId="1" xfId="31" applyNumberFormat="1" applyFont="1" applyFill="1" applyBorder="1"/>
    <xf numFmtId="0" fontId="66" fillId="8" borderId="6" xfId="1" applyFont="1" applyFill="1" applyBorder="1" applyAlignment="1">
      <alignment horizontal="center" vertical="center" wrapText="1"/>
    </xf>
    <xf numFmtId="0" fontId="66" fillId="8" borderId="6" xfId="1" applyFont="1" applyFill="1" applyBorder="1" applyAlignment="1">
      <alignment vertical="center" wrapText="1"/>
    </xf>
    <xf numFmtId="0" fontId="35" fillId="14" borderId="1" xfId="1" applyFont="1" applyFill="1" applyBorder="1" applyAlignment="1">
      <alignment vertical="center"/>
    </xf>
    <xf numFmtId="177" fontId="36" fillId="16" borderId="1" xfId="31" applyNumberFormat="1" applyFont="1" applyFill="1" applyBorder="1"/>
    <xf numFmtId="44" fontId="1" fillId="0" borderId="0" xfId="32" applyFont="1"/>
    <xf numFmtId="177" fontId="0" fillId="0" borderId="0" xfId="0" applyNumberFormat="1"/>
    <xf numFmtId="0" fontId="0" fillId="0" borderId="0" xfId="0" applyAlignment="1"/>
    <xf numFmtId="192" fontId="0" fillId="0" borderId="0" xfId="0" applyNumberFormat="1"/>
    <xf numFmtId="0" fontId="36" fillId="15" borderId="1" xfId="1" applyFont="1" applyFill="1" applyBorder="1" applyAlignment="1">
      <alignment horizontal="left" vertical="center"/>
    </xf>
    <xf numFmtId="0" fontId="124" fillId="0" borderId="1" xfId="0" applyFont="1" applyBorder="1" applyAlignment="1">
      <alignment horizontal="left"/>
    </xf>
    <xf numFmtId="0" fontId="108" fillId="8" borderId="1" xfId="1" applyFont="1" applyFill="1" applyBorder="1" applyAlignment="1">
      <alignment horizontal="center" vertical="center"/>
    </xf>
    <xf numFmtId="173" fontId="125" fillId="0" borderId="1" xfId="33" applyNumberFormat="1" applyFont="1" applyFill="1" applyBorder="1" applyAlignment="1">
      <alignment horizontal="center" vertical="center"/>
    </xf>
    <xf numFmtId="173" fontId="125" fillId="8" borderId="1" xfId="33" applyNumberFormat="1" applyFont="1" applyFill="1" applyBorder="1" applyAlignment="1">
      <alignment horizontal="center" vertical="center"/>
    </xf>
    <xf numFmtId="9" fontId="125" fillId="8" borderId="1" xfId="33" applyFont="1" applyFill="1" applyBorder="1" applyAlignment="1">
      <alignment horizontal="center" vertical="center"/>
    </xf>
    <xf numFmtId="4" fontId="125" fillId="8" borderId="1" xfId="1" applyNumberFormat="1" applyFont="1" applyFill="1" applyBorder="1" applyAlignment="1">
      <alignment horizontal="center" vertical="center"/>
    </xf>
    <xf numFmtId="0" fontId="125" fillId="8" borderId="1" xfId="1" applyFont="1" applyFill="1" applyBorder="1" applyAlignment="1">
      <alignment horizontal="center" vertical="center"/>
    </xf>
    <xf numFmtId="0" fontId="124" fillId="0" borderId="1" xfId="1" applyFont="1" applyFill="1" applyBorder="1" applyAlignment="1">
      <alignment horizontal="center" vertical="center" wrapText="1"/>
    </xf>
    <xf numFmtId="193" fontId="124" fillId="0" borderId="1" xfId="34" applyNumberFormat="1" applyFont="1" applyBorder="1"/>
    <xf numFmtId="194" fontId="125" fillId="8" borderId="1" xfId="33" applyNumberFormat="1" applyFont="1" applyFill="1" applyBorder="1" applyAlignment="1">
      <alignment horizontal="center" vertical="center"/>
    </xf>
    <xf numFmtId="194" fontId="125" fillId="0" borderId="1" xfId="33" applyNumberFormat="1" applyFont="1" applyFill="1" applyBorder="1" applyAlignment="1">
      <alignment horizontal="center" vertical="center"/>
    </xf>
    <xf numFmtId="4" fontId="125" fillId="0" borderId="1" xfId="1" applyNumberFormat="1" applyFont="1" applyFill="1" applyBorder="1" applyAlignment="1">
      <alignment horizontal="center" vertical="center"/>
    </xf>
    <xf numFmtId="0" fontId="69" fillId="15" borderId="1" xfId="1" applyFont="1" applyFill="1" applyBorder="1" applyAlignment="1">
      <alignment horizontal="left" vertical="center"/>
    </xf>
    <xf numFmtId="174" fontId="125" fillId="8" borderId="1" xfId="33" applyNumberFormat="1" applyFont="1" applyFill="1" applyBorder="1" applyAlignment="1">
      <alignment horizontal="center" vertical="center"/>
    </xf>
    <xf numFmtId="0" fontId="124" fillId="0" borderId="1" xfId="0" applyFont="1" applyFill="1" applyBorder="1" applyAlignment="1">
      <alignment horizontal="left"/>
    </xf>
    <xf numFmtId="0" fontId="108" fillId="0" borderId="1" xfId="1" applyFont="1" applyFill="1" applyBorder="1" applyAlignment="1">
      <alignment horizontal="center" vertical="center"/>
    </xf>
    <xf numFmtId="9" fontId="125" fillId="0" borderId="1" xfId="33" applyFont="1" applyFill="1" applyBorder="1" applyAlignment="1">
      <alignment horizontal="center" vertical="center"/>
    </xf>
    <xf numFmtId="0" fontId="125" fillId="0" borderId="1" xfId="1" applyFont="1" applyFill="1" applyBorder="1" applyAlignment="1">
      <alignment horizontal="center" vertical="center"/>
    </xf>
    <xf numFmtId="193" fontId="124" fillId="0" borderId="1" xfId="34" applyNumberFormat="1" applyFont="1" applyFill="1" applyBorder="1"/>
    <xf numFmtId="0" fontId="61" fillId="0" borderId="0" xfId="0" applyFont="1"/>
    <xf numFmtId="0" fontId="61" fillId="0" borderId="0" xfId="0" applyFont="1" applyAlignment="1">
      <alignment horizontal="center"/>
    </xf>
    <xf numFmtId="0" fontId="46" fillId="0" borderId="0" xfId="0" applyFont="1"/>
    <xf numFmtId="0" fontId="46" fillId="0" borderId="0" xfId="0" applyFont="1" applyAlignment="1">
      <alignment horizontal="center"/>
    </xf>
    <xf numFmtId="4" fontId="46" fillId="0" borderId="0" xfId="0" applyNumberFormat="1" applyFont="1"/>
    <xf numFmtId="0" fontId="126" fillId="6" borderId="0" xfId="1" applyFont="1" applyFill="1" applyBorder="1" applyAlignment="1">
      <alignment vertical="center"/>
    </xf>
    <xf numFmtId="0" fontId="126" fillId="6" borderId="0" xfId="1" applyFont="1" applyFill="1" applyBorder="1" applyAlignment="1">
      <alignment horizontal="center" vertical="center"/>
    </xf>
    <xf numFmtId="0" fontId="61" fillId="6" borderId="0" xfId="1" applyFont="1" applyFill="1" applyBorder="1" applyAlignment="1">
      <alignment vertical="center"/>
    </xf>
    <xf numFmtId="0" fontId="61" fillId="6" borderId="0" xfId="1" applyFont="1" applyFill="1" applyBorder="1" applyAlignment="1">
      <alignment horizontal="center" vertical="center"/>
    </xf>
    <xf numFmtId="0" fontId="61" fillId="6" borderId="0" xfId="1" applyFont="1" applyFill="1" applyBorder="1" applyAlignment="1">
      <alignment horizontal="right" vertical="center"/>
    </xf>
    <xf numFmtId="49" fontId="61" fillId="6" borderId="0" xfId="1" applyNumberFormat="1" applyFont="1" applyFill="1" applyBorder="1" applyAlignment="1">
      <alignment horizontal="center" vertical="center"/>
    </xf>
    <xf numFmtId="49" fontId="61" fillId="6" borderId="0" xfId="1" applyNumberFormat="1" applyFont="1" applyFill="1" applyBorder="1" applyAlignment="1">
      <alignment vertical="center"/>
    </xf>
    <xf numFmtId="0" fontId="128" fillId="0" borderId="0" xfId="0" applyFont="1"/>
    <xf numFmtId="0" fontId="127" fillId="7" borderId="45" xfId="1" applyFont="1" applyFill="1" applyBorder="1" applyAlignment="1">
      <alignment horizontal="center" vertical="center" wrapText="1"/>
    </xf>
    <xf numFmtId="0" fontId="127" fillId="7" borderId="42" xfId="1" applyFont="1" applyFill="1" applyBorder="1" applyAlignment="1">
      <alignment horizontal="center" vertical="center" wrapText="1"/>
    </xf>
    <xf numFmtId="0" fontId="112" fillId="11" borderId="1" xfId="1" applyFont="1" applyFill="1" applyBorder="1" applyAlignment="1">
      <alignment vertical="center"/>
    </xf>
    <xf numFmtId="4" fontId="112" fillId="11" borderId="1" xfId="1" applyNumberFormat="1" applyFont="1" applyFill="1" applyBorder="1" applyAlignment="1">
      <alignment horizontal="center" vertical="center"/>
    </xf>
    <xf numFmtId="0" fontId="112" fillId="11" borderId="1" xfId="1" applyFont="1" applyFill="1" applyBorder="1" applyAlignment="1">
      <alignment horizontal="center" vertical="center"/>
    </xf>
    <xf numFmtId="4" fontId="129" fillId="25" borderId="42" xfId="1" applyNumberFormat="1" applyFont="1" applyFill="1" applyBorder="1" applyAlignment="1">
      <alignment horizontal="right" vertical="center"/>
    </xf>
    <xf numFmtId="0" fontId="129" fillId="25" borderId="42" xfId="1" applyFont="1" applyFill="1" applyBorder="1" applyAlignment="1">
      <alignment horizontal="center" vertical="center"/>
    </xf>
    <xf numFmtId="0" fontId="130" fillId="0" borderId="0" xfId="0" applyFont="1"/>
    <xf numFmtId="0" fontId="129" fillId="6" borderId="0" xfId="1" applyFont="1" applyFill="1" applyBorder="1" applyAlignment="1">
      <alignment vertical="center"/>
    </xf>
    <xf numFmtId="4" fontId="129" fillId="6" borderId="0" xfId="1" applyNumberFormat="1" applyFont="1" applyFill="1" applyBorder="1" applyAlignment="1">
      <alignment horizontal="center" vertical="center"/>
    </xf>
    <xf numFmtId="0" fontId="112" fillId="6" borderId="1" xfId="1" applyFont="1" applyFill="1" applyBorder="1" applyAlignment="1">
      <alignment horizontal="center" vertical="center"/>
    </xf>
    <xf numFmtId="9" fontId="112" fillId="6" borderId="1" xfId="15" applyFont="1" applyFill="1" applyBorder="1" applyAlignment="1">
      <alignment horizontal="center" vertical="center"/>
    </xf>
    <xf numFmtId="4" fontId="129" fillId="6" borderId="42" xfId="1" applyNumberFormat="1" applyFont="1" applyFill="1" applyBorder="1" applyAlignment="1">
      <alignment horizontal="center" vertical="center"/>
    </xf>
    <xf numFmtId="0" fontId="129" fillId="6" borderId="42" xfId="1" applyFont="1" applyFill="1" applyBorder="1" applyAlignment="1">
      <alignment horizontal="center" vertical="center"/>
    </xf>
    <xf numFmtId="9" fontId="112" fillId="11" borderId="1" xfId="15" applyFont="1" applyFill="1" applyBorder="1" applyAlignment="1">
      <alignment horizontal="center" vertical="center"/>
    </xf>
    <xf numFmtId="4" fontId="129" fillId="25" borderId="0" xfId="1" applyNumberFormat="1" applyFont="1" applyFill="1" applyBorder="1" applyAlignment="1">
      <alignment vertical="center"/>
    </xf>
    <xf numFmtId="0" fontId="130" fillId="0" borderId="1" xfId="0" applyFont="1" applyFill="1" applyBorder="1" applyAlignment="1">
      <alignment vertical="center"/>
    </xf>
    <xf numFmtId="4" fontId="130" fillId="0" borderId="1" xfId="0" applyNumberFormat="1" applyFont="1" applyBorder="1" applyAlignment="1">
      <alignment horizontal="center" vertical="center"/>
    </xf>
    <xf numFmtId="0" fontId="130" fillId="0" borderId="1" xfId="0" applyFont="1" applyBorder="1" applyAlignment="1">
      <alignment horizontal="center" vertical="center"/>
    </xf>
    <xf numFmtId="0" fontId="130" fillId="6" borderId="1" xfId="1" applyFont="1" applyFill="1" applyBorder="1" applyAlignment="1">
      <alignment horizontal="center" vertical="center"/>
    </xf>
    <xf numFmtId="0" fontId="131" fillId="0" borderId="1" xfId="0" applyFont="1" applyFill="1" applyBorder="1" applyAlignment="1">
      <alignment horizontal="center" vertical="center"/>
    </xf>
    <xf numFmtId="195" fontId="112" fillId="6" borderId="1" xfId="1" applyNumberFormat="1" applyFont="1" applyFill="1" applyBorder="1" applyAlignment="1">
      <alignment horizontal="center" vertical="center"/>
    </xf>
    <xf numFmtId="0" fontId="132" fillId="6" borderId="1" xfId="1" applyFont="1" applyFill="1" applyBorder="1" applyAlignment="1">
      <alignment horizontal="center" vertical="center"/>
    </xf>
    <xf numFmtId="4" fontId="46" fillId="0" borderId="1" xfId="0" applyNumberFormat="1" applyFont="1" applyFill="1" applyBorder="1"/>
    <xf numFmtId="10" fontId="130" fillId="0" borderId="1" xfId="15" applyNumberFormat="1" applyFont="1" applyFill="1" applyBorder="1" applyAlignment="1">
      <alignment horizontal="center" vertical="center"/>
    </xf>
    <xf numFmtId="9" fontId="130" fillId="6" borderId="1" xfId="1" applyNumberFormat="1" applyFont="1" applyFill="1" applyBorder="1" applyAlignment="1">
      <alignment horizontal="center" vertical="center"/>
    </xf>
    <xf numFmtId="9" fontId="19" fillId="0" borderId="1" xfId="15" applyFont="1" applyFill="1" applyBorder="1" applyAlignment="1">
      <alignment horizontal="center"/>
    </xf>
    <xf numFmtId="0" fontId="129" fillId="6" borderId="1" xfId="1" applyFont="1" applyFill="1" applyBorder="1" applyAlignment="1">
      <alignment horizontal="center" vertical="center"/>
    </xf>
    <xf numFmtId="10" fontId="130" fillId="0" borderId="1" xfId="15" applyNumberFormat="1" applyFont="1" applyBorder="1" applyAlignment="1">
      <alignment horizontal="center" vertical="center"/>
    </xf>
    <xf numFmtId="10" fontId="130" fillId="6" borderId="1" xfId="15" applyNumberFormat="1" applyFont="1" applyFill="1" applyBorder="1" applyAlignment="1">
      <alignment horizontal="center" vertical="center"/>
    </xf>
    <xf numFmtId="174" fontId="130" fillId="0" borderId="1" xfId="15" applyNumberFormat="1" applyFont="1" applyBorder="1" applyAlignment="1">
      <alignment horizontal="center" vertical="center"/>
    </xf>
    <xf numFmtId="0" fontId="130" fillId="0" borderId="1" xfId="0" applyFont="1" applyBorder="1" applyAlignment="1">
      <alignment vertical="center"/>
    </xf>
    <xf numFmtId="195" fontId="19" fillId="6" borderId="1" xfId="1" applyNumberFormat="1" applyFont="1" applyFill="1" applyBorder="1" applyAlignment="1">
      <alignment horizontal="center" vertical="center"/>
    </xf>
    <xf numFmtId="39" fontId="46" fillId="0" borderId="1" xfId="0" applyNumberFormat="1" applyFont="1" applyBorder="1" applyProtection="1"/>
    <xf numFmtId="0" fontId="19" fillId="6" borderId="1" xfId="1" applyFont="1" applyFill="1" applyBorder="1" applyAlignment="1">
      <alignment vertical="center"/>
    </xf>
    <xf numFmtId="4" fontId="19" fillId="6" borderId="1" xfId="1" applyNumberFormat="1" applyFont="1" applyFill="1" applyBorder="1" applyAlignment="1">
      <alignment horizontal="center" vertical="center"/>
    </xf>
    <xf numFmtId="4" fontId="130" fillId="0" borderId="1" xfId="0" applyNumberFormat="1" applyFont="1" applyBorder="1"/>
    <xf numFmtId="39" fontId="22" fillId="0" borderId="4" xfId="0" applyNumberFormat="1" applyFont="1" applyBorder="1" applyProtection="1"/>
    <xf numFmtId="39" fontId="46" fillId="0" borderId="4" xfId="0" applyNumberFormat="1" applyFont="1" applyBorder="1" applyProtection="1"/>
    <xf numFmtId="4" fontId="45" fillId="11" borderId="1" xfId="1" applyNumberFormat="1" applyFont="1" applyFill="1" applyBorder="1" applyAlignment="1">
      <alignment horizontal="center" vertical="center"/>
    </xf>
    <xf numFmtId="4" fontId="61" fillId="25" borderId="42" xfId="1" applyNumberFormat="1" applyFont="1" applyFill="1" applyBorder="1" applyAlignment="1">
      <alignment horizontal="right" vertical="center"/>
    </xf>
    <xf numFmtId="0" fontId="61" fillId="6" borderId="1" xfId="1" applyFont="1" applyFill="1" applyBorder="1" applyAlignment="1">
      <alignment vertical="center"/>
    </xf>
    <xf numFmtId="4" fontId="61" fillId="6" borderId="1" xfId="1" applyNumberFormat="1" applyFont="1" applyFill="1" applyBorder="1" applyAlignment="1">
      <alignment horizontal="center" vertical="center"/>
    </xf>
    <xf numFmtId="9" fontId="45" fillId="6" borderId="1" xfId="15" applyFont="1" applyFill="1" applyBorder="1" applyAlignment="1">
      <alignment horizontal="center" vertical="center"/>
    </xf>
    <xf numFmtId="0" fontId="45" fillId="6" borderId="1" xfId="1" applyFont="1" applyFill="1" applyBorder="1" applyAlignment="1">
      <alignment horizontal="center" vertical="center"/>
    </xf>
    <xf numFmtId="4" fontId="46" fillId="6" borderId="1" xfId="0" applyNumberFormat="1" applyFont="1" applyFill="1" applyBorder="1"/>
    <xf numFmtId="0" fontId="61" fillId="25" borderId="42" xfId="1" applyFont="1" applyFill="1" applyBorder="1" applyAlignment="1">
      <alignment horizontal="center" vertical="center"/>
    </xf>
    <xf numFmtId="195" fontId="112" fillId="0" borderId="1" xfId="1" applyNumberFormat="1" applyFont="1" applyFill="1" applyBorder="1" applyAlignment="1">
      <alignment horizontal="center" vertical="center"/>
    </xf>
    <xf numFmtId="4" fontId="46" fillId="6" borderId="1" xfId="1" applyNumberFormat="1" applyFont="1" applyFill="1" applyBorder="1" applyAlignment="1">
      <alignment horizontal="right" vertical="center"/>
    </xf>
    <xf numFmtId="0" fontId="46" fillId="6" borderId="0" xfId="0" applyFont="1" applyFill="1"/>
    <xf numFmtId="0" fontId="19" fillId="6" borderId="1" xfId="1" applyFont="1" applyFill="1" applyBorder="1" applyAlignment="1">
      <alignment horizontal="center" vertical="center"/>
    </xf>
    <xf numFmtId="10" fontId="19" fillId="6" borderId="1" xfId="15" applyNumberFormat="1" applyFont="1" applyFill="1" applyBorder="1" applyAlignment="1">
      <alignment horizontal="center" vertical="center"/>
    </xf>
    <xf numFmtId="4" fontId="46" fillId="0" borderId="1" xfId="0" applyNumberFormat="1" applyFont="1" applyBorder="1"/>
    <xf numFmtId="0" fontId="46" fillId="6" borderId="1" xfId="0" applyFont="1" applyFill="1" applyBorder="1"/>
    <xf numFmtId="0" fontId="61" fillId="6" borderId="42" xfId="1" applyFont="1" applyFill="1" applyBorder="1" applyAlignment="1">
      <alignment horizontal="center" vertical="center"/>
    </xf>
    <xf numFmtId="4" fontId="129" fillId="25" borderId="0" xfId="1" applyNumberFormat="1" applyFont="1" applyFill="1" applyBorder="1" applyAlignment="1">
      <alignment horizontal="right" vertical="center"/>
    </xf>
    <xf numFmtId="0" fontId="112" fillId="6" borderId="1" xfId="1" applyFont="1" applyFill="1" applyBorder="1" applyAlignment="1">
      <alignment vertical="center"/>
    </xf>
    <xf numFmtId="4" fontId="112" fillId="6" borderId="1" xfId="1" applyNumberFormat="1" applyFont="1" applyFill="1" applyBorder="1" applyAlignment="1">
      <alignment horizontal="center" vertical="center"/>
    </xf>
    <xf numFmtId="0" fontId="112" fillId="6" borderId="2" xfId="1" applyFont="1" applyFill="1" applyBorder="1" applyAlignment="1">
      <alignment horizontal="center" vertical="center"/>
    </xf>
    <xf numFmtId="0" fontId="129" fillId="6" borderId="46" xfId="1" applyFont="1" applyFill="1" applyBorder="1" applyAlignment="1">
      <alignment horizontal="center" vertical="center"/>
    </xf>
    <xf numFmtId="0" fontId="112" fillId="11" borderId="2" xfId="1" applyFont="1" applyFill="1" applyBorder="1" applyAlignment="1">
      <alignment horizontal="center" vertical="center"/>
    </xf>
    <xf numFmtId="4" fontId="129" fillId="25" borderId="1" xfId="1" applyNumberFormat="1" applyFont="1" applyFill="1" applyBorder="1" applyAlignment="1">
      <alignment horizontal="right" vertical="center"/>
    </xf>
    <xf numFmtId="0" fontId="129" fillId="6" borderId="47" xfId="1" applyFont="1" applyFill="1" applyBorder="1" applyAlignment="1">
      <alignment horizontal="center" vertical="center"/>
    </xf>
    <xf numFmtId="0" fontId="129" fillId="25" borderId="46" xfId="1" applyFont="1" applyFill="1" applyBorder="1" applyAlignment="1">
      <alignment horizontal="center" vertical="center"/>
    </xf>
    <xf numFmtId="0" fontId="130" fillId="6" borderId="0" xfId="0" applyFont="1" applyFill="1"/>
    <xf numFmtId="0" fontId="45" fillId="11" borderId="2" xfId="1" applyFont="1" applyFill="1" applyBorder="1" applyAlignment="1">
      <alignment horizontal="center" vertical="center"/>
    </xf>
    <xf numFmtId="0" fontId="130" fillId="6" borderId="1" xfId="0" applyFont="1" applyFill="1" applyBorder="1"/>
    <xf numFmtId="4" fontId="130" fillId="6" borderId="1" xfId="0" applyNumberFormat="1" applyFont="1" applyFill="1" applyBorder="1"/>
    <xf numFmtId="4" fontId="45" fillId="6" borderId="1" xfId="1" applyNumberFormat="1" applyFont="1" applyFill="1" applyBorder="1" applyAlignment="1">
      <alignment horizontal="center" vertical="center"/>
    </xf>
    <xf numFmtId="0" fontId="45" fillId="6" borderId="2" xfId="1" applyFont="1" applyFill="1" applyBorder="1" applyAlignment="1">
      <alignment horizontal="center" vertical="center"/>
    </xf>
    <xf numFmtId="0" fontId="114" fillId="7" borderId="1" xfId="1" applyFont="1" applyFill="1" applyBorder="1" applyAlignment="1">
      <alignment horizontal="left" vertical="center"/>
    </xf>
    <xf numFmtId="4" fontId="114" fillId="7" borderId="1" xfId="1" applyNumberFormat="1" applyFont="1" applyFill="1" applyBorder="1" applyAlignment="1">
      <alignment horizontal="center" vertical="center"/>
    </xf>
    <xf numFmtId="0" fontId="114" fillId="7" borderId="1" xfId="1" applyFont="1" applyFill="1" applyBorder="1" applyAlignment="1">
      <alignment horizontal="center" vertical="center"/>
    </xf>
    <xf numFmtId="9" fontId="114" fillId="7" borderId="1" xfId="15" applyFont="1" applyFill="1" applyBorder="1" applyAlignment="1">
      <alignment horizontal="center" vertical="center"/>
    </xf>
    <xf numFmtId="0" fontId="114" fillId="7" borderId="2" xfId="1" applyFont="1" applyFill="1" applyBorder="1" applyAlignment="1">
      <alignment horizontal="center" vertical="center"/>
    </xf>
    <xf numFmtId="4" fontId="129" fillId="0" borderId="1" xfId="0" applyNumberFormat="1" applyFont="1" applyBorder="1"/>
    <xf numFmtId="0" fontId="74" fillId="0" borderId="0" xfId="0" applyFont="1"/>
    <xf numFmtId="0" fontId="130" fillId="0" borderId="0" xfId="0" applyFont="1" applyAlignment="1">
      <alignment horizontal="center"/>
    </xf>
    <xf numFmtId="4" fontId="130" fillId="0" borderId="0" xfId="0" applyNumberFormat="1" applyFont="1"/>
    <xf numFmtId="0" fontId="133" fillId="0" borderId="0" xfId="0" applyFont="1"/>
    <xf numFmtId="0" fontId="67" fillId="0" borderId="0" xfId="0" applyFont="1" applyFill="1"/>
    <xf numFmtId="0" fontId="76" fillId="0" borderId="0" xfId="0" applyFont="1" applyFill="1" applyAlignment="1">
      <alignment horizontal="center"/>
    </xf>
    <xf numFmtId="49" fontId="69" fillId="0" borderId="0" xfId="1" applyNumberFormat="1" applyFont="1" applyFill="1" applyBorder="1" applyAlignment="1">
      <alignment horizontal="center" vertical="center"/>
    </xf>
    <xf numFmtId="44" fontId="36" fillId="26" borderId="1" xfId="32" applyFont="1" applyFill="1" applyBorder="1" applyAlignment="1">
      <alignment horizontal="center" vertical="center"/>
    </xf>
    <xf numFmtId="4" fontId="36" fillId="26" borderId="1" xfId="32" applyNumberFormat="1" applyFont="1" applyFill="1" applyBorder="1" applyAlignment="1">
      <alignment horizontal="center" vertical="center"/>
    </xf>
    <xf numFmtId="4" fontId="36" fillId="0" borderId="1" xfId="32" applyNumberFormat="1" applyFont="1" applyFill="1" applyBorder="1" applyAlignment="1">
      <alignment horizontal="center" vertical="center"/>
    </xf>
    <xf numFmtId="6" fontId="36" fillId="0" borderId="1" xfId="1" applyNumberFormat="1" applyFont="1" applyFill="1" applyBorder="1" applyAlignment="1">
      <alignment horizontal="center" vertical="center"/>
    </xf>
    <xf numFmtId="0" fontId="36" fillId="26" borderId="1" xfId="1" applyFont="1" applyFill="1" applyBorder="1" applyAlignment="1">
      <alignment vertical="center"/>
    </xf>
    <xf numFmtId="4" fontId="69" fillId="26" borderId="1" xfId="32" applyNumberFormat="1" applyFont="1" applyFill="1" applyBorder="1" applyAlignment="1">
      <alignment horizontal="center" vertical="center"/>
    </xf>
    <xf numFmtId="6" fontId="69" fillId="0" borderId="1" xfId="33" applyNumberFormat="1" applyFont="1" applyFill="1" applyBorder="1" applyAlignment="1">
      <alignment horizontal="center" vertical="center"/>
    </xf>
    <xf numFmtId="6" fontId="69" fillId="8" borderId="1" xfId="1" applyNumberFormat="1" applyFont="1" applyFill="1" applyBorder="1" applyAlignment="1">
      <alignment horizontal="center" vertical="center"/>
    </xf>
    <xf numFmtId="4" fontId="69" fillId="0" borderId="1" xfId="32" applyNumberFormat="1" applyFont="1" applyFill="1" applyBorder="1" applyAlignment="1">
      <alignment horizontal="center" vertical="center"/>
    </xf>
    <xf numFmtId="0" fontId="69" fillId="0" borderId="1" xfId="1" applyFont="1" applyFill="1" applyBorder="1" applyAlignment="1">
      <alignment horizontal="left" vertical="center"/>
    </xf>
    <xf numFmtId="4" fontId="35" fillId="14" borderId="1" xfId="1" applyNumberFormat="1" applyFont="1" applyFill="1" applyBorder="1" applyAlignment="1">
      <alignment horizontal="center" vertical="center"/>
    </xf>
    <xf numFmtId="0" fontId="36" fillId="0" borderId="0" xfId="0" applyFont="1" applyFill="1"/>
    <xf numFmtId="44" fontId="0" fillId="0" borderId="0" xfId="0" applyNumberFormat="1" applyFill="1"/>
    <xf numFmtId="44" fontId="69" fillId="0" borderId="1" xfId="32" applyFont="1" applyFill="1" applyBorder="1" applyAlignment="1">
      <alignment horizontal="center" vertical="center"/>
    </xf>
    <xf numFmtId="0" fontId="69" fillId="8" borderId="1" xfId="1" applyFont="1" applyFill="1" applyBorder="1" applyAlignment="1">
      <alignment horizontal="left" vertical="center"/>
    </xf>
    <xf numFmtId="189" fontId="36" fillId="0" borderId="1" xfId="33" applyNumberFormat="1" applyFont="1" applyFill="1" applyBorder="1" applyAlignment="1">
      <alignment horizontal="center" vertical="center"/>
    </xf>
    <xf numFmtId="0" fontId="69" fillId="0" borderId="0" xfId="0" applyFont="1"/>
    <xf numFmtId="0" fontId="134" fillId="8" borderId="0" xfId="1" applyFont="1" applyFill="1" applyBorder="1" applyAlignment="1">
      <alignment vertical="center"/>
    </xf>
    <xf numFmtId="0" fontId="69" fillId="0" borderId="0" xfId="1" applyFont="1" applyFill="1" applyBorder="1" applyAlignment="1">
      <alignment vertical="center"/>
    </xf>
    <xf numFmtId="10" fontId="36" fillId="0" borderId="1" xfId="1" applyNumberFormat="1" applyFont="1" applyFill="1" applyBorder="1" applyAlignment="1">
      <alignment horizontal="center" vertical="center"/>
    </xf>
    <xf numFmtId="181" fontId="36" fillId="0" borderId="1" xfId="1" applyNumberFormat="1" applyFont="1" applyFill="1" applyBorder="1" applyAlignment="1">
      <alignment horizontal="center" vertical="center"/>
    </xf>
    <xf numFmtId="196" fontId="36" fillId="0" borderId="1" xfId="1" applyNumberFormat="1" applyFont="1" applyFill="1" applyBorder="1" applyAlignment="1">
      <alignment horizontal="center" vertical="center"/>
    </xf>
    <xf numFmtId="181" fontId="36" fillId="8" borderId="1" xfId="1" applyNumberFormat="1" applyFont="1" applyFill="1" applyBorder="1" applyAlignment="1">
      <alignment horizontal="center" vertical="center"/>
    </xf>
    <xf numFmtId="0" fontId="35" fillId="8" borderId="1" xfId="1" applyFont="1" applyFill="1" applyBorder="1" applyAlignment="1">
      <alignment horizontal="left" vertical="center"/>
    </xf>
    <xf numFmtId="0" fontId="35" fillId="8" borderId="1" xfId="1" applyFont="1" applyFill="1" applyBorder="1" applyAlignment="1">
      <alignment horizontal="center" vertical="center"/>
    </xf>
    <xf numFmtId="9" fontId="35" fillId="8" borderId="1" xfId="33" applyFont="1" applyFill="1" applyBorder="1" applyAlignment="1">
      <alignment horizontal="center" vertical="center"/>
    </xf>
    <xf numFmtId="44" fontId="68" fillId="8" borderId="1" xfId="32" applyFont="1" applyFill="1" applyBorder="1" applyAlignment="1">
      <alignment horizontal="center" vertical="center"/>
    </xf>
    <xf numFmtId="43" fontId="1" fillId="0" borderId="0" xfId="31" applyFont="1"/>
    <xf numFmtId="164" fontId="0" fillId="0" borderId="0" xfId="0" applyNumberFormat="1"/>
    <xf numFmtId="173" fontId="36" fillId="0" borderId="1" xfId="1" applyNumberFormat="1" applyFont="1" applyFill="1" applyBorder="1" applyAlignment="1">
      <alignment horizontal="center" vertical="center"/>
    </xf>
    <xf numFmtId="43" fontId="36" fillId="8" borderId="1" xfId="31" applyFont="1" applyFill="1" applyBorder="1" applyAlignment="1">
      <alignment horizontal="center" vertical="center"/>
    </xf>
    <xf numFmtId="43" fontId="36" fillId="0" borderId="1" xfId="31" applyFont="1" applyBorder="1"/>
    <xf numFmtId="43" fontId="1" fillId="0" borderId="1" xfId="31" applyFont="1" applyBorder="1"/>
    <xf numFmtId="43" fontId="69" fillId="24" borderId="1" xfId="31" applyFont="1" applyFill="1" applyBorder="1" applyAlignment="1">
      <alignment horizontal="center" vertical="center"/>
    </xf>
    <xf numFmtId="43" fontId="69" fillId="8" borderId="1" xfId="31" applyFont="1" applyFill="1" applyBorder="1" applyAlignment="1">
      <alignment horizontal="center" vertical="center"/>
    </xf>
    <xf numFmtId="43" fontId="36" fillId="24" borderId="1" xfId="31" applyFont="1" applyFill="1" applyBorder="1" applyAlignment="1">
      <alignment horizontal="center" vertical="center"/>
    </xf>
    <xf numFmtId="0" fontId="0" fillId="8" borderId="1" xfId="0" applyFill="1" applyBorder="1" applyAlignment="1">
      <alignment horizontal="center"/>
    </xf>
    <xf numFmtId="0" fontId="0" fillId="8" borderId="1" xfId="0" applyFill="1" applyBorder="1"/>
    <xf numFmtId="0" fontId="36" fillId="0" borderId="1" xfId="1" applyFont="1" applyFill="1" applyBorder="1" applyAlignment="1">
      <alignment vertical="center"/>
    </xf>
    <xf numFmtId="8" fontId="36" fillId="0" borderId="1" xfId="1" applyNumberFormat="1" applyFont="1" applyFill="1" applyBorder="1" applyAlignment="1">
      <alignment horizontal="center" vertical="center"/>
    </xf>
    <xf numFmtId="8" fontId="36" fillId="8" borderId="1" xfId="1" applyNumberFormat="1" applyFont="1" applyFill="1" applyBorder="1" applyAlignment="1">
      <alignment horizontal="center" vertical="center"/>
    </xf>
    <xf numFmtId="189" fontId="36" fillId="8" borderId="1" xfId="33" applyNumberFormat="1" applyFont="1" applyFill="1" applyBorder="1" applyAlignment="1">
      <alignment horizontal="center" vertical="center"/>
    </xf>
    <xf numFmtId="0" fontId="36" fillId="8" borderId="1" xfId="33" applyNumberFormat="1" applyFont="1" applyFill="1" applyBorder="1" applyAlignment="1">
      <alignment horizontal="center" vertical="center"/>
    </xf>
    <xf numFmtId="43" fontId="0" fillId="0" borderId="0" xfId="0" applyNumberFormat="1"/>
    <xf numFmtId="169" fontId="35" fillId="14" borderId="1" xfId="1" applyNumberFormat="1" applyFont="1" applyFill="1" applyBorder="1" applyAlignment="1">
      <alignment horizontal="center" vertical="center"/>
    </xf>
    <xf numFmtId="169" fontId="36" fillId="8" borderId="1" xfId="1" applyNumberFormat="1" applyFont="1" applyFill="1" applyBorder="1" applyAlignment="1">
      <alignment horizontal="center" vertical="center"/>
    </xf>
    <xf numFmtId="169" fontId="36" fillId="15" borderId="1" xfId="1" applyNumberFormat="1" applyFont="1" applyFill="1" applyBorder="1" applyAlignment="1">
      <alignment horizontal="center" vertical="center"/>
    </xf>
    <xf numFmtId="169" fontId="69" fillId="8" borderId="1" xfId="1" applyNumberFormat="1" applyFont="1" applyFill="1" applyBorder="1" applyAlignment="1">
      <alignment horizontal="center" vertical="center"/>
    </xf>
    <xf numFmtId="169" fontId="69" fillId="15" borderId="1" xfId="1" applyNumberFormat="1" applyFont="1" applyFill="1" applyBorder="1" applyAlignment="1">
      <alignment horizontal="center" vertical="center"/>
    </xf>
    <xf numFmtId="0" fontId="1" fillId="8" borderId="24" xfId="1" applyFont="1" applyFill="1" applyBorder="1" applyAlignment="1">
      <alignment vertical="center"/>
    </xf>
    <xf numFmtId="169" fontId="67" fillId="0" borderId="1" xfId="0" applyNumberFormat="1" applyFont="1" applyBorder="1"/>
    <xf numFmtId="197" fontId="135" fillId="0" borderId="1" xfId="35" applyFont="1" applyFill="1" applyBorder="1" applyAlignment="1" applyProtection="1"/>
    <xf numFmtId="4" fontId="36" fillId="8" borderId="1" xfId="1" applyNumberFormat="1" applyFont="1" applyFill="1" applyBorder="1" applyAlignment="1">
      <alignment horizontal="center" vertical="center"/>
    </xf>
    <xf numFmtId="174" fontId="36" fillId="8" borderId="1" xfId="33" applyNumberFormat="1" applyFont="1" applyFill="1" applyBorder="1" applyAlignment="1">
      <alignment horizontal="center" vertical="center"/>
    </xf>
    <xf numFmtId="4" fontId="69" fillId="15" borderId="1" xfId="1" applyNumberFormat="1" applyFont="1" applyFill="1" applyBorder="1" applyAlignment="1">
      <alignment horizontal="center" vertical="center"/>
    </xf>
    <xf numFmtId="4" fontId="69" fillId="8" borderId="1" xfId="1" applyNumberFormat="1" applyFont="1" applyFill="1" applyBorder="1" applyAlignment="1">
      <alignment horizontal="center" vertical="center"/>
    </xf>
    <xf numFmtId="4" fontId="36" fillId="15" borderId="1" xfId="1" applyNumberFormat="1" applyFont="1" applyFill="1" applyBorder="1" applyAlignment="1">
      <alignment horizontal="center" vertical="center"/>
    </xf>
    <xf numFmtId="0" fontId="1" fillId="15" borderId="1" xfId="1" applyFont="1" applyFill="1" applyBorder="1" applyAlignment="1">
      <alignment vertical="center"/>
    </xf>
    <xf numFmtId="0" fontId="70" fillId="14" borderId="51" xfId="1" applyFont="1" applyFill="1" applyBorder="1" applyAlignment="1">
      <alignment horizontal="center" vertical="center" wrapText="1"/>
    </xf>
    <xf numFmtId="0" fontId="70" fillId="14" borderId="48" xfId="1" applyFont="1" applyFill="1" applyBorder="1" applyAlignment="1">
      <alignment horizontal="center" vertical="center" wrapText="1"/>
    </xf>
    <xf numFmtId="0" fontId="36" fillId="24" borderId="0" xfId="1" applyFont="1" applyFill="1" applyBorder="1" applyAlignment="1">
      <alignment vertical="center"/>
    </xf>
    <xf numFmtId="0" fontId="36" fillId="24" borderId="48" xfId="1" applyFont="1" applyFill="1" applyBorder="1" applyAlignment="1">
      <alignment horizontal="center" vertical="center"/>
    </xf>
    <xf numFmtId="0" fontId="0" fillId="0" borderId="1" xfId="0" applyFont="1" applyBorder="1" applyAlignment="1">
      <alignment vertical="center"/>
    </xf>
    <xf numFmtId="10" fontId="0" fillId="0" borderId="1" xfId="0" applyNumberFormat="1" applyFont="1" applyBorder="1" applyAlignment="1">
      <alignment horizontal="center" vertical="center"/>
    </xf>
    <xf numFmtId="10" fontId="1" fillId="8" borderId="1" xfId="1" applyNumberFormat="1" applyFont="1" applyFill="1" applyBorder="1" applyAlignment="1">
      <alignment horizontal="center" vertical="center"/>
    </xf>
    <xf numFmtId="9" fontId="1" fillId="8" borderId="1" xfId="1" applyNumberFormat="1" applyFont="1" applyFill="1" applyBorder="1" applyAlignment="1">
      <alignment horizontal="center" vertical="center"/>
    </xf>
    <xf numFmtId="192" fontId="1" fillId="0" borderId="1" xfId="31" applyNumberFormat="1" applyFont="1" applyFill="1" applyBorder="1" applyAlignment="1">
      <alignment horizontal="center" vertical="center"/>
    </xf>
    <xf numFmtId="0" fontId="0" fillId="0" borderId="1" xfId="0" applyBorder="1" applyAlignment="1">
      <alignment horizontal="center"/>
    </xf>
    <xf numFmtId="0" fontId="0" fillId="0" borderId="1" xfId="0" applyFont="1" applyFill="1" applyBorder="1" applyAlignment="1">
      <alignment vertical="center"/>
    </xf>
    <xf numFmtId="191" fontId="1" fillId="8" borderId="1" xfId="1" applyNumberFormat="1" applyFont="1" applyFill="1" applyBorder="1" applyAlignment="1">
      <alignment horizontal="center" vertical="center"/>
    </xf>
    <xf numFmtId="0" fontId="69" fillId="24" borderId="0" xfId="1" applyFont="1" applyFill="1" applyBorder="1" applyAlignment="1">
      <alignment vertical="center"/>
    </xf>
    <xf numFmtId="0" fontId="69" fillId="24" borderId="48" xfId="1" applyFont="1" applyFill="1" applyBorder="1" applyAlignment="1">
      <alignment horizontal="center" vertical="center"/>
    </xf>
    <xf numFmtId="192" fontId="69" fillId="24" borderId="48" xfId="31" applyNumberFormat="1" applyFont="1" applyFill="1" applyBorder="1" applyAlignment="1">
      <alignment horizontal="center" vertical="center"/>
    </xf>
    <xf numFmtId="10" fontId="1" fillId="8" borderId="1" xfId="1" applyNumberFormat="1" applyFont="1" applyFill="1" applyBorder="1" applyAlignment="1">
      <alignment horizontal="right" vertical="center"/>
    </xf>
    <xf numFmtId="192" fontId="67" fillId="0" borderId="1" xfId="31" applyNumberFormat="1" applyFont="1" applyFill="1" applyBorder="1" applyAlignment="1">
      <alignment horizontal="center" vertical="center"/>
    </xf>
    <xf numFmtId="0" fontId="67" fillId="8" borderId="3" xfId="0" applyFont="1" applyFill="1" applyBorder="1"/>
    <xf numFmtId="192" fontId="67" fillId="0" borderId="1" xfId="31" applyNumberFormat="1" applyFont="1" applyFill="1" applyBorder="1" applyAlignment="1">
      <alignment vertical="center"/>
    </xf>
    <xf numFmtId="192" fontId="36" fillId="24" borderId="48" xfId="31" applyNumberFormat="1" applyFont="1" applyFill="1" applyBorder="1" applyAlignment="1">
      <alignment horizontal="center" vertical="center"/>
    </xf>
    <xf numFmtId="0" fontId="0" fillId="0" borderId="1" xfId="0" applyFont="1" applyBorder="1" applyAlignment="1">
      <alignment horizontal="center" vertical="center"/>
    </xf>
    <xf numFmtId="0" fontId="1" fillId="8" borderId="0" xfId="1" applyFont="1" applyFill="1" applyBorder="1" applyAlignment="1">
      <alignment horizontal="center" vertical="center"/>
    </xf>
    <xf numFmtId="0" fontId="1" fillId="0" borderId="0" xfId="1" applyFont="1" applyFill="1" applyBorder="1" applyAlignment="1">
      <alignment horizontal="center" vertical="center"/>
    </xf>
    <xf numFmtId="0" fontId="0" fillId="8" borderId="1" xfId="0" applyFont="1" applyFill="1" applyBorder="1" applyAlignment="1">
      <alignment vertical="center"/>
    </xf>
    <xf numFmtId="0" fontId="69" fillId="8" borderId="48" xfId="1" applyFont="1" applyFill="1" applyBorder="1" applyAlignment="1">
      <alignment horizontal="center" vertical="center"/>
    </xf>
    <xf numFmtId="0" fontId="69" fillId="0" borderId="48" xfId="1" applyFont="1" applyFill="1" applyBorder="1" applyAlignment="1">
      <alignment horizontal="center" vertical="center"/>
    </xf>
    <xf numFmtId="192" fontId="69" fillId="8" borderId="48" xfId="31" applyNumberFormat="1" applyFont="1" applyFill="1" applyBorder="1" applyAlignment="1">
      <alignment horizontal="center" vertical="center"/>
    </xf>
    <xf numFmtId="9" fontId="67" fillId="8" borderId="1" xfId="1" applyNumberFormat="1" applyFont="1" applyFill="1" applyBorder="1" applyAlignment="1">
      <alignment horizontal="center" vertical="center"/>
    </xf>
    <xf numFmtId="0" fontId="35" fillId="14" borderId="0" xfId="1" applyFont="1" applyFill="1" applyBorder="1" applyAlignment="1">
      <alignment horizontal="left" vertical="center"/>
    </xf>
    <xf numFmtId="0" fontId="35" fillId="14" borderId="48" xfId="1" applyFont="1" applyFill="1" applyBorder="1" applyAlignment="1">
      <alignment horizontal="center" vertical="center"/>
    </xf>
    <xf numFmtId="192" fontId="1" fillId="8" borderId="0" xfId="1" applyNumberFormat="1" applyFont="1" applyFill="1" applyBorder="1" applyAlignment="1">
      <alignment vertical="center"/>
    </xf>
    <xf numFmtId="198" fontId="0" fillId="0" borderId="0" xfId="0" applyNumberFormat="1"/>
    <xf numFmtId="0" fontId="36" fillId="8" borderId="0" xfId="0" applyFont="1" applyFill="1"/>
    <xf numFmtId="0" fontId="75" fillId="8" borderId="0" xfId="1" applyFont="1" applyFill="1" applyAlignment="1">
      <alignment vertical="center"/>
    </xf>
    <xf numFmtId="0" fontId="69" fillId="8" borderId="0" xfId="1" applyFont="1" applyFill="1" applyAlignment="1">
      <alignment vertical="center"/>
    </xf>
    <xf numFmtId="0" fontId="69" fillId="8" borderId="0" xfId="1" applyFont="1" applyFill="1" applyAlignment="1">
      <alignment horizontal="right" vertical="center"/>
    </xf>
    <xf numFmtId="49" fontId="69" fillId="8" borderId="0" xfId="1" applyNumberFormat="1" applyFont="1" applyFill="1" applyAlignment="1">
      <alignment horizontal="center" vertical="center"/>
    </xf>
    <xf numFmtId="49" fontId="69" fillId="8" borderId="0" xfId="1" applyNumberFormat="1" applyFont="1" applyFill="1" applyAlignment="1">
      <alignment vertical="center"/>
    </xf>
    <xf numFmtId="0" fontId="36" fillId="24" borderId="0" xfId="1" applyFont="1" applyFill="1" applyAlignment="1">
      <alignment vertical="center"/>
    </xf>
    <xf numFmtId="0" fontId="36" fillId="8" borderId="0" xfId="1" applyFont="1" applyFill="1" applyAlignment="1">
      <alignment vertical="center"/>
    </xf>
    <xf numFmtId="0" fontId="36" fillId="8" borderId="48" xfId="1" applyFont="1" applyFill="1" applyBorder="1" applyAlignment="1">
      <alignment horizontal="center" vertical="center"/>
    </xf>
    <xf numFmtId="0" fontId="36" fillId="0" borderId="0" xfId="1" applyFont="1" applyAlignment="1">
      <alignment vertical="center"/>
    </xf>
    <xf numFmtId="9" fontId="36" fillId="8" borderId="48" xfId="1" applyNumberFormat="1" applyFont="1" applyFill="1" applyBorder="1" applyAlignment="1">
      <alignment horizontal="center" vertical="center"/>
    </xf>
    <xf numFmtId="195" fontId="36" fillId="8" borderId="48" xfId="1" applyNumberFormat="1" applyFont="1" applyFill="1" applyBorder="1" applyAlignment="1">
      <alignment horizontal="center" vertical="center"/>
    </xf>
    <xf numFmtId="195" fontId="36" fillId="8" borderId="48" xfId="1" applyNumberFormat="1" applyFont="1" applyFill="1" applyBorder="1" applyAlignment="1">
      <alignment vertical="center"/>
    </xf>
    <xf numFmtId="195" fontId="36" fillId="8" borderId="48" xfId="13" applyNumberFormat="1" applyFont="1" applyFill="1" applyBorder="1" applyAlignment="1">
      <alignment horizontal="center" vertical="center"/>
    </xf>
    <xf numFmtId="198" fontId="36" fillId="8" borderId="48" xfId="13" applyNumberFormat="1" applyFont="1" applyFill="1" applyBorder="1" applyAlignment="1">
      <alignment horizontal="center" vertical="center"/>
    </xf>
    <xf numFmtId="198" fontId="36" fillId="8" borderId="48" xfId="1" applyNumberFormat="1" applyFont="1" applyFill="1" applyBorder="1" applyAlignment="1">
      <alignment horizontal="center" vertical="center"/>
    </xf>
    <xf numFmtId="195" fontId="36" fillId="0" borderId="48" xfId="1" applyNumberFormat="1" applyFont="1" applyBorder="1" applyAlignment="1">
      <alignment horizontal="center" vertical="center"/>
    </xf>
    <xf numFmtId="185" fontId="36" fillId="8" borderId="48" xfId="1" applyNumberFormat="1" applyFont="1" applyFill="1" applyBorder="1" applyAlignment="1">
      <alignment horizontal="center" vertical="center"/>
    </xf>
    <xf numFmtId="0" fontId="69" fillId="0" borderId="0" xfId="1" applyFont="1" applyAlignment="1">
      <alignment vertical="center"/>
    </xf>
    <xf numFmtId="195" fontId="69" fillId="24" borderId="48" xfId="1" applyNumberFormat="1" applyFont="1" applyFill="1" applyBorder="1" applyAlignment="1">
      <alignment vertical="center"/>
    </xf>
    <xf numFmtId="195" fontId="69" fillId="8" borderId="48" xfId="1" applyNumberFormat="1" applyFont="1" applyFill="1" applyBorder="1" applyAlignment="1">
      <alignment vertical="center"/>
    </xf>
    <xf numFmtId="195" fontId="36" fillId="24" borderId="48" xfId="1" applyNumberFormat="1" applyFont="1" applyFill="1" applyBorder="1" applyAlignment="1">
      <alignment vertical="center"/>
    </xf>
    <xf numFmtId="195" fontId="36" fillId="0" borderId="48" xfId="1" applyNumberFormat="1" applyFont="1" applyBorder="1" applyAlignment="1">
      <alignment vertical="center"/>
    </xf>
    <xf numFmtId="195" fontId="36" fillId="24" borderId="48" xfId="1" applyNumberFormat="1" applyFont="1" applyFill="1" applyBorder="1" applyAlignment="1">
      <alignment horizontal="center" vertical="center"/>
    </xf>
    <xf numFmtId="195" fontId="69" fillId="24" borderId="48" xfId="1" applyNumberFormat="1" applyFont="1" applyFill="1" applyBorder="1" applyAlignment="1">
      <alignment horizontal="center" vertical="center"/>
    </xf>
    <xf numFmtId="195" fontId="69" fillId="8" borderId="48" xfId="1" applyNumberFormat="1" applyFont="1" applyFill="1" applyBorder="1" applyAlignment="1">
      <alignment horizontal="center" vertical="center"/>
    </xf>
    <xf numFmtId="0" fontId="35" fillId="14" borderId="0" xfId="1" applyFont="1" applyFill="1" applyAlignment="1">
      <alignment horizontal="left" vertical="center"/>
    </xf>
    <xf numFmtId="195" fontId="35" fillId="14" borderId="48" xfId="1" applyNumberFormat="1" applyFont="1" applyFill="1" applyBorder="1" applyAlignment="1">
      <alignment horizontal="center" vertical="center"/>
    </xf>
    <xf numFmtId="0" fontId="1" fillId="8" borderId="0" xfId="1" applyFill="1" applyAlignment="1">
      <alignment horizontal="left" vertical="center"/>
    </xf>
    <xf numFmtId="0" fontId="1" fillId="8" borderId="0" xfId="1" applyFill="1" applyAlignment="1">
      <alignment vertical="center"/>
    </xf>
    <xf numFmtId="4" fontId="0" fillId="0" borderId="0" xfId="0" applyNumberFormat="1"/>
    <xf numFmtId="0" fontId="75" fillId="27" borderId="0" xfId="1" applyFont="1" applyFill="1" applyBorder="1" applyAlignment="1">
      <alignment vertical="center"/>
    </xf>
    <xf numFmtId="43" fontId="69" fillId="8" borderId="0" xfId="31" applyFont="1" applyFill="1" applyBorder="1" applyAlignment="1">
      <alignment vertical="center"/>
    </xf>
    <xf numFmtId="0" fontId="69" fillId="27" borderId="0" xfId="0" applyFont="1" applyFill="1"/>
    <xf numFmtId="43" fontId="67" fillId="0" borderId="0" xfId="31" applyFont="1"/>
    <xf numFmtId="0" fontId="45" fillId="27" borderId="0" xfId="0" applyFont="1" applyFill="1"/>
    <xf numFmtId="43" fontId="69" fillId="8" borderId="0" xfId="31" applyFont="1" applyFill="1" applyBorder="1" applyAlignment="1">
      <alignment horizontal="center" vertical="center"/>
    </xf>
    <xf numFmtId="43" fontId="70" fillId="14" borderId="1" xfId="31" applyFont="1" applyFill="1" applyBorder="1" applyAlignment="1">
      <alignment horizontal="center" vertical="center" wrapText="1"/>
    </xf>
    <xf numFmtId="0" fontId="36" fillId="8" borderId="3" xfId="1" applyFont="1" applyFill="1" applyBorder="1" applyAlignment="1">
      <alignment vertical="center"/>
    </xf>
    <xf numFmtId="43" fontId="36" fillId="8" borderId="48" xfId="31" applyFont="1" applyFill="1" applyBorder="1" applyAlignment="1">
      <alignment horizontal="center" vertical="center"/>
    </xf>
    <xf numFmtId="10" fontId="36" fillId="8" borderId="48" xfId="33" applyNumberFormat="1" applyFont="1" applyFill="1" applyBorder="1" applyAlignment="1">
      <alignment horizontal="center" vertical="center"/>
    </xf>
    <xf numFmtId="10" fontId="36" fillId="8" borderId="48" xfId="1" applyNumberFormat="1" applyFont="1" applyFill="1" applyBorder="1" applyAlignment="1">
      <alignment horizontal="center" vertical="center"/>
    </xf>
    <xf numFmtId="43" fontId="36" fillId="0" borderId="48" xfId="31" applyFont="1" applyFill="1" applyBorder="1" applyAlignment="1">
      <alignment horizontal="center" vertical="center"/>
    </xf>
    <xf numFmtId="43" fontId="69" fillId="8" borderId="48" xfId="31" applyFont="1" applyFill="1" applyBorder="1" applyAlignment="1">
      <alignment horizontal="center" vertical="center"/>
    </xf>
    <xf numFmtId="174" fontId="36" fillId="8" borderId="48" xfId="1" applyNumberFormat="1" applyFont="1" applyFill="1" applyBorder="1" applyAlignment="1">
      <alignment horizontal="center" vertical="center"/>
    </xf>
    <xf numFmtId="0" fontId="36" fillId="8" borderId="48" xfId="1" applyFont="1" applyFill="1" applyBorder="1" applyAlignment="1">
      <alignment horizontal="left" vertical="center"/>
    </xf>
    <xf numFmtId="0" fontId="36" fillId="8" borderId="3" xfId="1" applyFont="1" applyFill="1" applyBorder="1" applyAlignment="1">
      <alignment vertical="center" wrapText="1"/>
    </xf>
    <xf numFmtId="0" fontId="69" fillId="8" borderId="3" xfId="1" applyFont="1" applyFill="1" applyBorder="1" applyAlignment="1">
      <alignment vertical="center"/>
    </xf>
    <xf numFmtId="43" fontId="35" fillId="14" borderId="1" xfId="31" applyFont="1" applyFill="1" applyBorder="1" applyAlignment="1">
      <alignment horizontal="center" vertical="center"/>
    </xf>
    <xf numFmtId="43" fontId="35" fillId="14" borderId="1" xfId="1" applyNumberFormat="1" applyFont="1" applyFill="1" applyBorder="1" applyAlignment="1">
      <alignment horizontal="center" vertical="center"/>
    </xf>
    <xf numFmtId="43" fontId="1" fillId="8" borderId="0" xfId="31" applyFont="1" applyFill="1" applyBorder="1" applyAlignment="1">
      <alignment vertical="center"/>
    </xf>
    <xf numFmtId="0" fontId="0" fillId="8" borderId="0" xfId="1" applyFont="1" applyFill="1" applyBorder="1" applyAlignment="1">
      <alignment vertical="center"/>
    </xf>
    <xf numFmtId="43" fontId="1" fillId="8" borderId="0" xfId="1" applyNumberFormat="1" applyFont="1" applyFill="1" applyBorder="1" applyAlignment="1">
      <alignment vertical="center"/>
    </xf>
    <xf numFmtId="0" fontId="75" fillId="28" borderId="0" xfId="1" applyFont="1" applyFill="1" applyBorder="1" applyAlignment="1">
      <alignment vertical="center"/>
    </xf>
    <xf numFmtId="0" fontId="69" fillId="28" borderId="0" xfId="0" applyFont="1" applyFill="1"/>
    <xf numFmtId="0" fontId="45" fillId="28" borderId="0" xfId="0" applyFont="1" applyFill="1"/>
    <xf numFmtId="9" fontId="69" fillId="8" borderId="48" xfId="1" applyNumberFormat="1" applyFont="1" applyFill="1" applyBorder="1" applyAlignment="1">
      <alignment horizontal="center" vertical="center"/>
    </xf>
    <xf numFmtId="0" fontId="75" fillId="29" borderId="0" xfId="1" applyFont="1" applyFill="1" applyBorder="1" applyAlignment="1">
      <alignment vertical="center"/>
    </xf>
    <xf numFmtId="0" fontId="69" fillId="29" borderId="0" xfId="0" applyFont="1" applyFill="1"/>
    <xf numFmtId="0" fontId="45" fillId="29" borderId="0" xfId="0" applyFont="1" applyFill="1"/>
    <xf numFmtId="0" fontId="69" fillId="8" borderId="0" xfId="1" applyFont="1" applyFill="1" applyBorder="1" applyAlignment="1">
      <alignment horizontal="center" vertical="center"/>
    </xf>
    <xf numFmtId="0" fontId="75" fillId="30" borderId="0" xfId="1" applyFont="1" applyFill="1" applyBorder="1" applyAlignment="1">
      <alignment vertical="center"/>
    </xf>
    <xf numFmtId="0" fontId="69" fillId="30" borderId="0" xfId="0" applyFont="1" applyFill="1"/>
    <xf numFmtId="0" fontId="45" fillId="30" borderId="0" xfId="0" applyFont="1" applyFill="1"/>
    <xf numFmtId="43" fontId="0" fillId="0" borderId="0" xfId="31" applyFont="1"/>
    <xf numFmtId="44" fontId="67" fillId="0" borderId="0" xfId="32" applyFont="1"/>
    <xf numFmtId="44" fontId="69" fillId="8" borderId="0" xfId="32" applyFont="1" applyFill="1" applyBorder="1" applyAlignment="1">
      <alignment horizontal="center" vertical="center"/>
    </xf>
    <xf numFmtId="0" fontId="36" fillId="24" borderId="52" xfId="1" applyFont="1" applyFill="1" applyBorder="1" applyAlignment="1">
      <alignment vertical="center"/>
    </xf>
    <xf numFmtId="0" fontId="36" fillId="24" borderId="53" xfId="1" applyFont="1" applyFill="1" applyBorder="1" applyAlignment="1">
      <alignment horizontal="center" vertical="center"/>
    </xf>
    <xf numFmtId="44" fontId="36" fillId="24" borderId="54" xfId="32" applyFont="1" applyFill="1" applyBorder="1" applyAlignment="1">
      <alignment horizontal="center" vertical="center"/>
    </xf>
    <xf numFmtId="0" fontId="136" fillId="0" borderId="24" xfId="0" applyFont="1" applyBorder="1"/>
    <xf numFmtId="169" fontId="12" fillId="0" borderId="1" xfId="32" applyNumberFormat="1" applyFont="1" applyFill="1" applyBorder="1" applyAlignment="1">
      <alignment horizontal="right"/>
    </xf>
    <xf numFmtId="169" fontId="12" fillId="0" borderId="1" xfId="32" applyNumberFormat="1" applyFont="1" applyBorder="1" applyAlignment="1">
      <alignment horizontal="right"/>
    </xf>
    <xf numFmtId="0" fontId="136" fillId="0" borderId="10" xfId="0" applyFont="1" applyBorder="1"/>
    <xf numFmtId="44" fontId="36" fillId="8" borderId="1" xfId="32" applyFont="1" applyFill="1" applyBorder="1" applyAlignment="1">
      <alignment vertical="center"/>
    </xf>
    <xf numFmtId="0" fontId="0" fillId="0" borderId="6" xfId="0" applyFont="1" applyBorder="1" applyAlignment="1">
      <alignment vertical="center"/>
    </xf>
    <xf numFmtId="169" fontId="12" fillId="0" borderId="6" xfId="32" applyNumberFormat="1" applyFont="1" applyBorder="1" applyAlignment="1">
      <alignment horizontal="right"/>
    </xf>
    <xf numFmtId="0" fontId="0" fillId="0" borderId="1" xfId="0" applyFont="1" applyBorder="1"/>
    <xf numFmtId="0" fontId="1" fillId="8" borderId="6" xfId="1" applyFont="1" applyFill="1" applyBorder="1" applyAlignment="1">
      <alignment horizontal="center" vertical="center"/>
    </xf>
    <xf numFmtId="44" fontId="1" fillId="0" borderId="6" xfId="32" applyFont="1" applyFill="1" applyBorder="1" applyAlignment="1">
      <alignment horizontal="center" vertical="center"/>
    </xf>
    <xf numFmtId="169" fontId="1" fillId="0" borderId="1" xfId="32" applyNumberFormat="1" applyFont="1" applyBorder="1" applyAlignment="1">
      <alignment vertical="center"/>
    </xf>
    <xf numFmtId="44" fontId="67" fillId="8" borderId="1" xfId="32" applyFont="1" applyFill="1" applyBorder="1" applyAlignment="1">
      <alignment horizontal="center" vertical="center"/>
    </xf>
    <xf numFmtId="0" fontId="67" fillId="8" borderId="1" xfId="0" applyFont="1" applyFill="1" applyBorder="1" applyAlignment="1">
      <alignment horizontal="center"/>
    </xf>
    <xf numFmtId="169" fontId="1" fillId="0" borderId="1" xfId="32" applyNumberFormat="1" applyFont="1" applyBorder="1" applyAlignment="1">
      <alignment horizontal="center" vertical="center"/>
    </xf>
    <xf numFmtId="0" fontId="136" fillId="0" borderId="6" xfId="0" applyFont="1" applyBorder="1"/>
    <xf numFmtId="169" fontId="36" fillId="0" borderId="1" xfId="32" applyNumberFormat="1" applyFont="1" applyBorder="1" applyAlignment="1">
      <alignment horizontal="center" vertical="center"/>
    </xf>
    <xf numFmtId="0" fontId="136" fillId="0" borderId="1" xfId="0" applyFont="1" applyBorder="1"/>
    <xf numFmtId="10" fontId="1" fillId="0" borderId="1" xfId="32" applyNumberFormat="1" applyFont="1" applyBorder="1" applyAlignment="1">
      <alignment vertical="center"/>
    </xf>
    <xf numFmtId="9" fontId="1" fillId="0" borderId="1" xfId="32" applyNumberFormat="1" applyFont="1" applyBorder="1" applyAlignment="1">
      <alignment vertical="center"/>
    </xf>
    <xf numFmtId="0" fontId="0" fillId="0" borderId="4" xfId="0" applyFont="1" applyBorder="1" applyAlignment="1">
      <alignment vertical="center"/>
    </xf>
    <xf numFmtId="0" fontId="67" fillId="8" borderId="1" xfId="0" applyFont="1" applyFill="1" applyBorder="1"/>
    <xf numFmtId="169" fontId="67" fillId="0" borderId="1" xfId="32" applyNumberFormat="1" applyFont="1" applyFill="1" applyBorder="1" applyAlignment="1">
      <alignment horizontal="center" vertical="center"/>
    </xf>
    <xf numFmtId="191" fontId="67" fillId="8" borderId="1" xfId="1" applyNumberFormat="1" applyFont="1" applyFill="1" applyBorder="1" applyAlignment="1">
      <alignment horizontal="center" vertical="center"/>
    </xf>
    <xf numFmtId="10" fontId="1" fillId="0" borderId="1" xfId="32" applyNumberFormat="1" applyFont="1" applyBorder="1" applyAlignment="1">
      <alignment horizontal="right" vertical="center" indent="1"/>
    </xf>
    <xf numFmtId="0" fontId="0" fillId="8" borderId="1" xfId="0" applyFont="1" applyFill="1" applyBorder="1"/>
    <xf numFmtId="169" fontId="1" fillId="0" borderId="1" xfId="32" applyNumberFormat="1" applyFont="1" applyFill="1" applyBorder="1" applyAlignment="1">
      <alignment horizontal="center" vertical="center"/>
    </xf>
    <xf numFmtId="0" fontId="0" fillId="0" borderId="1" xfId="0" applyFont="1" applyFill="1" applyBorder="1"/>
    <xf numFmtId="0" fontId="136" fillId="0" borderId="7" xfId="0" applyFont="1" applyBorder="1"/>
    <xf numFmtId="0" fontId="0" fillId="0" borderId="6" xfId="0" applyBorder="1" applyAlignment="1">
      <alignment vertical="center"/>
    </xf>
    <xf numFmtId="169" fontId="1" fillId="0" borderId="6" xfId="32" applyNumberFormat="1" applyFont="1" applyBorder="1" applyAlignment="1">
      <alignment vertical="center"/>
    </xf>
    <xf numFmtId="0" fontId="136" fillId="0" borderId="37" xfId="0" applyFont="1" applyBorder="1"/>
    <xf numFmtId="169" fontId="36" fillId="0" borderId="1" xfId="32" applyNumberFormat="1" applyFont="1" applyBorder="1" applyAlignment="1">
      <alignment vertical="center"/>
    </xf>
    <xf numFmtId="44" fontId="35" fillId="14" borderId="48" xfId="32" applyFont="1" applyFill="1" applyBorder="1" applyAlignment="1">
      <alignment horizontal="center" vertical="center"/>
    </xf>
    <xf numFmtId="44" fontId="1" fillId="8" borderId="0" xfId="32" applyFont="1" applyFill="1" applyBorder="1" applyAlignment="1">
      <alignment vertical="center"/>
    </xf>
    <xf numFmtId="49" fontId="125" fillId="8" borderId="0" xfId="1" applyNumberFormat="1" applyFont="1" applyFill="1" applyBorder="1" applyAlignment="1">
      <alignment horizontal="center" vertical="center"/>
    </xf>
    <xf numFmtId="49" fontId="125" fillId="8" borderId="0" xfId="1" applyNumberFormat="1" applyFont="1" applyFill="1" applyBorder="1" applyAlignment="1">
      <alignment vertical="center"/>
    </xf>
    <xf numFmtId="0" fontId="124" fillId="0" borderId="0" xfId="0" applyFont="1"/>
    <xf numFmtId="0" fontId="142" fillId="14" borderId="48" xfId="1" applyFont="1" applyFill="1" applyBorder="1" applyAlignment="1">
      <alignment horizontal="center" vertical="center" wrapText="1"/>
    </xf>
    <xf numFmtId="0" fontId="143" fillId="24" borderId="1" xfId="1" applyFont="1" applyFill="1" applyBorder="1" applyAlignment="1">
      <alignment horizontal="center" vertical="center" wrapText="1"/>
    </xf>
    <xf numFmtId="0" fontId="88" fillId="24" borderId="1" xfId="1" applyFont="1" applyFill="1" applyBorder="1" applyAlignment="1">
      <alignment horizontal="center" vertical="center"/>
    </xf>
    <xf numFmtId="0" fontId="112" fillId="0" borderId="1" xfId="0" applyFont="1" applyBorder="1" applyAlignment="1">
      <alignment horizontal="left" vertical="center" wrapText="1"/>
    </xf>
    <xf numFmtId="0" fontId="83" fillId="0" borderId="1" xfId="0" applyFont="1" applyBorder="1" applyAlignment="1">
      <alignment vertical="center"/>
    </xf>
    <xf numFmtId="9" fontId="0" fillId="0" borderId="1" xfId="0" applyNumberFormat="1" applyFont="1" applyBorder="1" applyAlignment="1">
      <alignment vertical="center"/>
    </xf>
    <xf numFmtId="0" fontId="19" fillId="0" borderId="1" xfId="0" applyFont="1" applyBorder="1" applyAlignment="1">
      <alignment vertical="center"/>
    </xf>
    <xf numFmtId="185" fontId="0" fillId="8" borderId="1" xfId="0" applyNumberFormat="1" applyFont="1" applyFill="1" applyBorder="1" applyAlignment="1">
      <alignment vertical="center"/>
    </xf>
    <xf numFmtId="0" fontId="0" fillId="8" borderId="0" xfId="0" applyFont="1" applyFill="1" applyBorder="1" applyAlignment="1">
      <alignment vertical="center"/>
    </xf>
    <xf numFmtId="0" fontId="112" fillId="0" borderId="6" xfId="0" applyFont="1" applyBorder="1" applyAlignment="1">
      <alignment vertical="center"/>
    </xf>
    <xf numFmtId="185" fontId="78" fillId="0" borderId="6" xfId="0" applyNumberFormat="1" applyFont="1" applyBorder="1" applyAlignment="1">
      <alignment vertical="center"/>
    </xf>
    <xf numFmtId="192" fontId="0" fillId="0" borderId="6" xfId="0" applyNumberFormat="1" applyFont="1" applyBorder="1" applyAlignment="1">
      <alignment vertical="center"/>
    </xf>
    <xf numFmtId="10" fontId="79" fillId="0" borderId="6" xfId="0" applyNumberFormat="1" applyFont="1" applyBorder="1" applyAlignment="1">
      <alignment vertical="center"/>
    </xf>
    <xf numFmtId="0" fontId="83" fillId="8" borderId="1" xfId="0" applyFont="1" applyFill="1" applyBorder="1" applyAlignment="1">
      <alignment vertical="center" wrapText="1"/>
    </xf>
    <xf numFmtId="185" fontId="78" fillId="0" borderId="1" xfId="0" applyNumberFormat="1" applyFont="1" applyBorder="1" applyAlignment="1">
      <alignment vertical="center"/>
    </xf>
    <xf numFmtId="0" fontId="86" fillId="24" borderId="1" xfId="1" applyFont="1" applyFill="1" applyBorder="1" applyAlignment="1">
      <alignment vertical="center"/>
    </xf>
    <xf numFmtId="0" fontId="1" fillId="24" borderId="1" xfId="1" applyFont="1" applyFill="1" applyBorder="1" applyAlignment="1">
      <alignment horizontal="center" vertical="center" wrapText="1"/>
    </xf>
    <xf numFmtId="0" fontId="83" fillId="8" borderId="1" xfId="0" applyFont="1" applyFill="1" applyBorder="1" applyAlignment="1">
      <alignment vertical="center"/>
    </xf>
    <xf numFmtId="0" fontId="144" fillId="0" borderId="1" xfId="0" applyFont="1" applyBorder="1" applyAlignment="1">
      <alignment vertical="center"/>
    </xf>
    <xf numFmtId="192" fontId="0" fillId="0" borderId="1" xfId="0" applyNumberFormat="1" applyFont="1" applyBorder="1" applyAlignment="1">
      <alignment vertical="center"/>
    </xf>
    <xf numFmtId="0" fontId="36" fillId="0" borderId="1" xfId="0" applyFont="1" applyBorder="1" applyAlignment="1">
      <alignment vertical="center"/>
    </xf>
    <xf numFmtId="10" fontId="0" fillId="8" borderId="1" xfId="0" applyNumberFormat="1" applyFont="1" applyFill="1" applyBorder="1" applyAlignment="1">
      <alignment vertical="center"/>
    </xf>
    <xf numFmtId="9" fontId="0" fillId="8" borderId="1" xfId="0" applyNumberFormat="1" applyFont="1" applyFill="1" applyBorder="1" applyAlignment="1">
      <alignment vertical="center"/>
    </xf>
    <xf numFmtId="0" fontId="112" fillId="0" borderId="1" xfId="0" applyFont="1" applyBorder="1" applyAlignment="1">
      <alignment vertical="center"/>
    </xf>
    <xf numFmtId="0" fontId="112" fillId="0" borderId="1" xfId="0" applyFont="1" applyBorder="1" applyAlignment="1">
      <alignment horizontal="left" vertical="center"/>
    </xf>
    <xf numFmtId="0" fontId="0" fillId="0" borderId="5" xfId="0" applyBorder="1"/>
    <xf numFmtId="0" fontId="0" fillId="0" borderId="1" xfId="0" applyBorder="1" applyAlignment="1">
      <alignment horizontal="center" vertical="center"/>
    </xf>
    <xf numFmtId="0" fontId="0" fillId="0" borderId="0" xfId="0" applyAlignment="1">
      <alignment horizontal="center" vertical="center" wrapText="1"/>
    </xf>
    <xf numFmtId="0" fontId="86" fillId="24" borderId="1" xfId="1" applyFont="1" applyFill="1" applyBorder="1" applyAlignment="1">
      <alignment horizontal="center" vertical="center"/>
    </xf>
    <xf numFmtId="0" fontId="0" fillId="0" borderId="56" xfId="0" applyBorder="1"/>
    <xf numFmtId="0" fontId="101" fillId="0" borderId="1" xfId="0" applyFont="1" applyBorder="1"/>
    <xf numFmtId="0" fontId="83" fillId="0" borderId="2" xfId="0" applyFont="1" applyBorder="1"/>
    <xf numFmtId="0" fontId="0" fillId="0" borderId="1" xfId="0" applyFill="1" applyBorder="1" applyAlignment="1">
      <alignment vertical="center"/>
    </xf>
    <xf numFmtId="0" fontId="83" fillId="0" borderId="0" xfId="0" applyFont="1" applyBorder="1"/>
    <xf numFmtId="0" fontId="101" fillId="0" borderId="0" xfId="0" applyFont="1"/>
    <xf numFmtId="0" fontId="72" fillId="0" borderId="1" xfId="0" applyFont="1" applyBorder="1"/>
    <xf numFmtId="0" fontId="0" fillId="0" borderId="57" xfId="0" applyBorder="1"/>
    <xf numFmtId="185" fontId="0" fillId="0" borderId="0" xfId="0" applyNumberFormat="1"/>
    <xf numFmtId="0" fontId="145" fillId="8" borderId="0" xfId="1" applyFont="1" applyFill="1" applyBorder="1" applyAlignment="1">
      <alignment vertical="center"/>
    </xf>
    <xf numFmtId="0" fontId="125" fillId="8" borderId="0" xfId="1" applyFont="1" applyFill="1" applyBorder="1" applyAlignment="1">
      <alignment vertical="center"/>
    </xf>
    <xf numFmtId="0" fontId="124" fillId="8" borderId="0" xfId="1" applyFont="1" applyFill="1" applyBorder="1" applyAlignment="1">
      <alignment vertical="center"/>
    </xf>
    <xf numFmtId="0" fontId="125" fillId="8" borderId="0" xfId="1" applyFont="1" applyFill="1" applyBorder="1" applyAlignment="1">
      <alignment horizontal="right" vertical="center"/>
    </xf>
    <xf numFmtId="0" fontId="125" fillId="0" borderId="0" xfId="0" applyFont="1"/>
    <xf numFmtId="0" fontId="145" fillId="0" borderId="0" xfId="1" applyFont="1" applyFill="1" applyBorder="1" applyAlignment="1">
      <alignment vertical="center"/>
    </xf>
    <xf numFmtId="0" fontId="125" fillId="0" borderId="0" xfId="1" applyFont="1" applyFill="1" applyBorder="1" applyAlignment="1">
      <alignment vertical="center"/>
    </xf>
    <xf numFmtId="49" fontId="124" fillId="8" borderId="0" xfId="1" applyNumberFormat="1" applyFont="1" applyFill="1" applyBorder="1" applyAlignment="1">
      <alignment horizontal="center" vertical="center"/>
    </xf>
    <xf numFmtId="0" fontId="147" fillId="0" borderId="0" xfId="0" applyFont="1"/>
    <xf numFmtId="0" fontId="140" fillId="14" borderId="5" xfId="1" applyFont="1" applyFill="1" applyBorder="1" applyAlignment="1">
      <alignment horizontal="center" vertical="center" wrapText="1"/>
    </xf>
    <xf numFmtId="0" fontId="140" fillId="14" borderId="1" xfId="1" applyFont="1" applyFill="1" applyBorder="1" applyAlignment="1">
      <alignment horizontal="center" vertical="center" wrapText="1"/>
    </xf>
    <xf numFmtId="0" fontId="140" fillId="14" borderId="2" xfId="1" applyFont="1" applyFill="1" applyBorder="1" applyAlignment="1">
      <alignment horizontal="center" vertical="center" wrapText="1"/>
    </xf>
    <xf numFmtId="0" fontId="108" fillId="24" borderId="3" xfId="1" applyFont="1" applyFill="1" applyBorder="1" applyAlignment="1">
      <alignment vertical="center"/>
    </xf>
    <xf numFmtId="0" fontId="108" fillId="24" borderId="3" xfId="1" applyFont="1" applyFill="1" applyBorder="1" applyAlignment="1">
      <alignment horizontal="center" vertical="center"/>
    </xf>
    <xf numFmtId="0" fontId="108" fillId="24" borderId="24" xfId="1" applyFont="1" applyFill="1" applyBorder="1" applyAlignment="1">
      <alignment horizontal="center" vertical="center"/>
    </xf>
    <xf numFmtId="0" fontId="108" fillId="24" borderId="0" xfId="1" applyFont="1" applyFill="1" applyBorder="1" applyAlignment="1">
      <alignment horizontal="center" vertical="center"/>
    </xf>
    <xf numFmtId="0" fontId="101" fillId="24" borderId="0" xfId="1" applyFont="1" applyFill="1" applyBorder="1" applyAlignment="1">
      <alignment horizontal="center" vertical="center"/>
    </xf>
    <xf numFmtId="4" fontId="108" fillId="15" borderId="24" xfId="1" applyNumberFormat="1" applyFont="1" applyFill="1" applyBorder="1" applyAlignment="1">
      <alignment horizontal="center" vertical="center"/>
    </xf>
    <xf numFmtId="0" fontId="108" fillId="0" borderId="3" xfId="1" applyFont="1" applyFill="1" applyBorder="1" applyAlignment="1">
      <alignment vertical="center"/>
    </xf>
    <xf numFmtId="0" fontId="108" fillId="0" borderId="3" xfId="1" applyFont="1" applyFill="1" applyBorder="1" applyAlignment="1">
      <alignment horizontal="center" vertical="center"/>
    </xf>
    <xf numFmtId="0" fontId="108" fillId="0" borderId="24" xfId="1" applyFont="1" applyFill="1" applyBorder="1" applyAlignment="1">
      <alignment horizontal="center" vertical="center"/>
    </xf>
    <xf numFmtId="0" fontId="108" fillId="0" borderId="0" xfId="1" applyFont="1" applyFill="1" applyBorder="1" applyAlignment="1">
      <alignment horizontal="center" vertical="center"/>
    </xf>
    <xf numFmtId="0" fontId="143" fillId="0" borderId="0" xfId="1" applyFont="1" applyFill="1" applyBorder="1" applyAlignment="1">
      <alignment horizontal="center" vertical="center"/>
    </xf>
    <xf numFmtId="4" fontId="108" fillId="0" borderId="24" xfId="1" applyNumberFormat="1" applyFont="1" applyFill="1" applyBorder="1" applyAlignment="1">
      <alignment horizontal="center" vertical="center"/>
    </xf>
    <xf numFmtId="0" fontId="101" fillId="0" borderId="0" xfId="0" applyFont="1" applyFill="1"/>
    <xf numFmtId="0" fontId="148" fillId="0" borderId="3" xfId="1" applyFont="1" applyFill="1" applyBorder="1" applyAlignment="1">
      <alignment horizontal="center" vertical="center"/>
    </xf>
    <xf numFmtId="0" fontId="101" fillId="0" borderId="24" xfId="0" applyFont="1" applyFill="1" applyBorder="1"/>
    <xf numFmtId="10" fontId="108" fillId="0" borderId="24" xfId="1" applyNumberFormat="1" applyFont="1" applyFill="1" applyBorder="1" applyAlignment="1">
      <alignment horizontal="center" vertical="center"/>
    </xf>
    <xf numFmtId="9" fontId="108" fillId="0" borderId="0" xfId="1" applyNumberFormat="1" applyFont="1" applyFill="1" applyBorder="1" applyAlignment="1">
      <alignment horizontal="center" vertical="center"/>
    </xf>
    <xf numFmtId="9" fontId="108" fillId="0" borderId="24" xfId="1" applyNumberFormat="1" applyFont="1" applyFill="1" applyBorder="1" applyAlignment="1">
      <alignment horizontal="center" vertical="center"/>
    </xf>
    <xf numFmtId="185" fontId="108" fillId="0" borderId="3" xfId="1" applyNumberFormat="1" applyFont="1" applyFill="1" applyBorder="1" applyAlignment="1">
      <alignment horizontal="center" vertical="center"/>
    </xf>
    <xf numFmtId="185" fontId="108" fillId="0" borderId="24" xfId="1" applyNumberFormat="1" applyFont="1" applyFill="1" applyBorder="1" applyAlignment="1">
      <alignment horizontal="center" vertical="center"/>
    </xf>
    <xf numFmtId="174" fontId="108" fillId="0" borderId="24" xfId="1" applyNumberFormat="1" applyFont="1" applyFill="1" applyBorder="1" applyAlignment="1">
      <alignment horizontal="center" vertical="center"/>
    </xf>
    <xf numFmtId="4" fontId="101" fillId="0" borderId="0" xfId="0" applyNumberFormat="1" applyFont="1" applyFill="1"/>
    <xf numFmtId="0" fontId="108" fillId="0" borderId="3" xfId="0" applyFont="1" applyFill="1" applyBorder="1" applyAlignment="1">
      <alignment horizontal="left"/>
    </xf>
    <xf numFmtId="0" fontId="148" fillId="0" borderId="3" xfId="0" applyFont="1" applyFill="1" applyBorder="1" applyAlignment="1">
      <alignment horizontal="center"/>
    </xf>
    <xf numFmtId="0" fontId="108" fillId="0" borderId="24" xfId="0" applyFont="1" applyFill="1" applyBorder="1" applyAlignment="1">
      <alignment horizontal="center"/>
    </xf>
    <xf numFmtId="9" fontId="108" fillId="0" borderId="24" xfId="0" applyNumberFormat="1" applyFont="1" applyFill="1" applyBorder="1" applyAlignment="1">
      <alignment horizontal="center"/>
    </xf>
    <xf numFmtId="0" fontId="108" fillId="0" borderId="0" xfId="0" applyFont="1" applyFill="1" applyBorder="1" applyAlignment="1">
      <alignment horizontal="center"/>
    </xf>
    <xf numFmtId="185" fontId="108" fillId="0" borderId="3" xfId="0" applyNumberFormat="1" applyFont="1" applyFill="1" applyBorder="1" applyAlignment="1">
      <alignment horizontal="center"/>
    </xf>
    <xf numFmtId="185" fontId="108" fillId="0" borderId="24" xfId="0" applyNumberFormat="1" applyFont="1" applyFill="1" applyBorder="1" applyAlignment="1">
      <alignment horizontal="center"/>
    </xf>
    <xf numFmtId="0" fontId="143" fillId="0" borderId="0" xfId="0" applyFont="1" applyFill="1" applyBorder="1" applyAlignment="1">
      <alignment horizontal="center"/>
    </xf>
    <xf numFmtId="4" fontId="108" fillId="0" borderId="24" xfId="0" applyNumberFormat="1" applyFont="1" applyFill="1" applyBorder="1" applyAlignment="1">
      <alignment horizontal="center"/>
    </xf>
    <xf numFmtId="0" fontId="108" fillId="0" borderId="0" xfId="0" applyFont="1" applyFill="1" applyAlignment="1">
      <alignment horizontal="center"/>
    </xf>
    <xf numFmtId="0" fontId="108" fillId="0" borderId="3" xfId="0" applyFont="1" applyFill="1" applyBorder="1"/>
    <xf numFmtId="0" fontId="108" fillId="0" borderId="0" xfId="0" applyFont="1" applyFill="1"/>
    <xf numFmtId="4" fontId="108" fillId="0" borderId="0" xfId="0" applyNumberFormat="1" applyFont="1" applyFill="1"/>
    <xf numFmtId="0" fontId="148" fillId="31" borderId="3" xfId="1" applyFont="1" applyFill="1" applyBorder="1" applyAlignment="1">
      <alignment horizontal="center" vertical="center"/>
    </xf>
    <xf numFmtId="0" fontId="108" fillId="31" borderId="24" xfId="1" applyFont="1" applyFill="1" applyBorder="1" applyAlignment="1">
      <alignment horizontal="center" vertical="center"/>
    </xf>
    <xf numFmtId="0" fontId="108" fillId="31" borderId="0" xfId="1" applyFont="1" applyFill="1" applyBorder="1" applyAlignment="1">
      <alignment horizontal="center" vertical="center"/>
    </xf>
    <xf numFmtId="185" fontId="108" fillId="31" borderId="3" xfId="1" applyNumberFormat="1" applyFont="1" applyFill="1" applyBorder="1" applyAlignment="1">
      <alignment horizontal="center" vertical="center"/>
    </xf>
    <xf numFmtId="185" fontId="108" fillId="31" borderId="24" xfId="1" applyNumberFormat="1" applyFont="1" applyFill="1" applyBorder="1" applyAlignment="1">
      <alignment horizontal="center" vertical="center"/>
    </xf>
    <xf numFmtId="0" fontId="143" fillId="31" borderId="0" xfId="1" applyFont="1" applyFill="1" applyBorder="1" applyAlignment="1">
      <alignment horizontal="center" vertical="center"/>
    </xf>
    <xf numFmtId="0" fontId="108" fillId="0" borderId="3" xfId="1" applyFont="1" applyFill="1" applyBorder="1" applyAlignment="1">
      <alignment horizontal="left" vertical="center"/>
    </xf>
    <xf numFmtId="0" fontId="125" fillId="0" borderId="3" xfId="1" applyFont="1" applyFill="1" applyBorder="1" applyAlignment="1">
      <alignment vertical="center"/>
    </xf>
    <xf numFmtId="0" fontId="149" fillId="0" borderId="3" xfId="1" applyFont="1" applyFill="1" applyBorder="1" applyAlignment="1">
      <alignment horizontal="center" vertical="center"/>
    </xf>
    <xf numFmtId="0" fontId="125" fillId="0" borderId="24" xfId="1" applyFont="1" applyFill="1" applyBorder="1" applyAlignment="1">
      <alignment horizontal="center" vertical="center"/>
    </xf>
    <xf numFmtId="0" fontId="125" fillId="0" borderId="0" xfId="1" applyFont="1" applyFill="1" applyBorder="1" applyAlignment="1">
      <alignment horizontal="center" vertical="center"/>
    </xf>
    <xf numFmtId="185" fontId="125" fillId="0" borderId="3" xfId="1" applyNumberFormat="1" applyFont="1" applyFill="1" applyBorder="1" applyAlignment="1">
      <alignment horizontal="center" vertical="center"/>
    </xf>
    <xf numFmtId="185" fontId="125" fillId="0" borderId="24" xfId="1" applyNumberFormat="1" applyFont="1" applyFill="1" applyBorder="1" applyAlignment="1">
      <alignment horizontal="center" vertical="center"/>
    </xf>
    <xf numFmtId="0" fontId="150" fillId="0" borderId="0" xfId="1" applyFont="1" applyFill="1" applyBorder="1" applyAlignment="1">
      <alignment horizontal="center" vertical="center"/>
    </xf>
    <xf numFmtId="4" fontId="125" fillId="0" borderId="24" xfId="1" applyNumberFormat="1" applyFont="1" applyFill="1" applyBorder="1" applyAlignment="1">
      <alignment horizontal="center" vertical="center"/>
    </xf>
    <xf numFmtId="0" fontId="125" fillId="0" borderId="0" xfId="0" applyFont="1" applyFill="1"/>
    <xf numFmtId="4" fontId="125" fillId="0" borderId="0" xfId="0" applyNumberFormat="1" applyFont="1" applyFill="1"/>
    <xf numFmtId="0" fontId="151" fillId="0" borderId="3" xfId="1" applyFont="1" applyFill="1" applyBorder="1" applyAlignment="1">
      <alignment horizontal="center" vertical="center"/>
    </xf>
    <xf numFmtId="0" fontId="143" fillId="0" borderId="3" xfId="1" applyFont="1" applyFill="1" applyBorder="1" applyAlignment="1">
      <alignment horizontal="center" vertical="center"/>
    </xf>
    <xf numFmtId="0" fontId="152" fillId="0" borderId="0" xfId="1" applyFont="1" applyFill="1" applyBorder="1" applyAlignment="1">
      <alignment horizontal="center" vertical="center"/>
    </xf>
    <xf numFmtId="0" fontId="153" fillId="0" borderId="3" xfId="1" applyFont="1" applyFill="1" applyBorder="1" applyAlignment="1">
      <alignment horizontal="center" vertical="center"/>
    </xf>
    <xf numFmtId="0" fontId="124" fillId="0" borderId="0" xfId="0" applyFont="1" applyFill="1"/>
    <xf numFmtId="9" fontId="125" fillId="0" borderId="24" xfId="1" applyNumberFormat="1" applyFont="1" applyFill="1" applyBorder="1" applyAlignment="1">
      <alignment horizontal="center" vertical="center"/>
    </xf>
    <xf numFmtId="0" fontId="154" fillId="0" borderId="0" xfId="1" applyFont="1" applyFill="1" applyBorder="1" applyAlignment="1">
      <alignment horizontal="center" vertical="center"/>
    </xf>
    <xf numFmtId="0" fontId="143" fillId="0" borderId="3" xfId="0" applyFont="1" applyFill="1" applyBorder="1"/>
    <xf numFmtId="0" fontId="101" fillId="0" borderId="0" xfId="0" applyFont="1" applyFill="1" applyBorder="1"/>
    <xf numFmtId="185" fontId="101" fillId="0" borderId="3" xfId="0" applyNumberFormat="1" applyFont="1" applyFill="1" applyBorder="1"/>
    <xf numFmtId="185" fontId="101" fillId="0" borderId="24" xfId="0" applyNumberFormat="1" applyFont="1" applyFill="1" applyBorder="1"/>
    <xf numFmtId="0" fontId="84" fillId="0" borderId="0" xfId="1" applyFont="1" applyFill="1" applyBorder="1" applyAlignment="1">
      <alignment horizontal="center" vertical="center"/>
    </xf>
    <xf numFmtId="0" fontId="150" fillId="0" borderId="3" xfId="1" applyFont="1" applyFill="1" applyBorder="1" applyAlignment="1">
      <alignment horizontal="center" vertical="center"/>
    </xf>
    <xf numFmtId="0" fontId="83" fillId="0" borderId="0" xfId="1" applyFont="1" applyFill="1" applyBorder="1" applyAlignment="1">
      <alignment horizontal="center" vertical="center"/>
    </xf>
    <xf numFmtId="0" fontId="101" fillId="0" borderId="24" xfId="0" applyFont="1" applyBorder="1"/>
    <xf numFmtId="0" fontId="140" fillId="14" borderId="32" xfId="1" applyFont="1" applyFill="1" applyBorder="1" applyAlignment="1">
      <alignment horizontal="left" vertical="center"/>
    </xf>
    <xf numFmtId="0" fontId="140" fillId="14" borderId="32" xfId="1" applyFont="1" applyFill="1" applyBorder="1" applyAlignment="1">
      <alignment horizontal="center" vertical="center"/>
    </xf>
    <xf numFmtId="0" fontId="140" fillId="14" borderId="6" xfId="1" applyFont="1" applyFill="1" applyBorder="1" applyAlignment="1">
      <alignment horizontal="center" vertical="center"/>
    </xf>
    <xf numFmtId="0" fontId="140" fillId="14" borderId="58" xfId="1" applyFont="1" applyFill="1" applyBorder="1" applyAlignment="1">
      <alignment horizontal="center" vertical="center"/>
    </xf>
    <xf numFmtId="0" fontId="92" fillId="14" borderId="58" xfId="1" applyFont="1" applyFill="1" applyBorder="1" applyAlignment="1">
      <alignment horizontal="center" vertical="center"/>
    </xf>
    <xf numFmtId="4" fontId="140" fillId="14" borderId="6" xfId="1" applyNumberFormat="1" applyFont="1" applyFill="1" applyBorder="1" applyAlignment="1">
      <alignment horizontal="center" vertical="center"/>
    </xf>
    <xf numFmtId="4" fontId="101" fillId="0" borderId="0" xfId="0" applyNumberFormat="1" applyFont="1"/>
    <xf numFmtId="0" fontId="155" fillId="0" borderId="0" xfId="0" applyFont="1" applyFill="1"/>
    <xf numFmtId="14" fontId="36" fillId="8" borderId="1" xfId="1" applyNumberFormat="1" applyFont="1" applyFill="1" applyBorder="1" applyAlignment="1">
      <alignment horizontal="center" vertical="center"/>
    </xf>
    <xf numFmtId="0" fontId="38" fillId="0" borderId="0" xfId="3" applyFont="1"/>
    <xf numFmtId="0" fontId="0" fillId="0" borderId="0" xfId="3" applyFont="1"/>
    <xf numFmtId="0" fontId="112" fillId="0" borderId="0" xfId="3" applyFont="1" applyAlignment="1"/>
    <xf numFmtId="0" fontId="63" fillId="20" borderId="0" xfId="3" applyFont="1" applyFill="1" applyBorder="1" applyAlignment="1">
      <alignment vertical="center"/>
    </xf>
    <xf numFmtId="0" fontId="45" fillId="20" borderId="0" xfId="3" applyFont="1" applyFill="1" applyBorder="1" applyAlignment="1">
      <alignment vertical="center"/>
    </xf>
    <xf numFmtId="0" fontId="45" fillId="20" borderId="0" xfId="3" applyFont="1" applyFill="1" applyBorder="1" applyAlignment="1">
      <alignment horizontal="right" vertical="center"/>
    </xf>
    <xf numFmtId="0" fontId="43" fillId="0" borderId="0" xfId="3" applyFont="1"/>
    <xf numFmtId="49" fontId="45" fillId="20" borderId="0" xfId="3" applyNumberFormat="1" applyFont="1" applyFill="1" applyBorder="1" applyAlignment="1">
      <alignment horizontal="center" vertical="center"/>
    </xf>
    <xf numFmtId="49" fontId="45" fillId="20" borderId="0" xfId="3" applyNumberFormat="1" applyFont="1" applyFill="1" applyBorder="1" applyAlignment="1">
      <alignment vertical="center"/>
    </xf>
    <xf numFmtId="0" fontId="156" fillId="0" borderId="0" xfId="3" applyFont="1"/>
    <xf numFmtId="0" fontId="127" fillId="32" borderId="45" xfId="3" applyFont="1" applyFill="1" applyBorder="1" applyAlignment="1">
      <alignment horizontal="center" vertical="center" wrapText="1"/>
    </xf>
    <xf numFmtId="0" fontId="127" fillId="32" borderId="42" xfId="3" applyFont="1" applyFill="1" applyBorder="1" applyAlignment="1">
      <alignment horizontal="center" vertical="center" wrapText="1"/>
    </xf>
    <xf numFmtId="0" fontId="112" fillId="33" borderId="0" xfId="3" applyFont="1" applyFill="1" applyBorder="1" applyAlignment="1">
      <alignment vertical="center"/>
    </xf>
    <xf numFmtId="0" fontId="112" fillId="33" borderId="42" xfId="3" applyFont="1" applyFill="1" applyBorder="1" applyAlignment="1">
      <alignment horizontal="center" vertical="center"/>
    </xf>
    <xf numFmtId="0" fontId="19" fillId="0" borderId="0" xfId="3"/>
    <xf numFmtId="0" fontId="157" fillId="0" borderId="35" xfId="16" applyFont="1" applyBorder="1" applyAlignment="1">
      <alignment horizontal="left" vertical="center"/>
    </xf>
    <xf numFmtId="0" fontId="157" fillId="0" borderId="35" xfId="16" applyFont="1" applyBorder="1" applyAlignment="1">
      <alignment horizontal="center" vertical="center"/>
    </xf>
    <xf numFmtId="10" fontId="157" fillId="0" borderId="35" xfId="16" applyNumberFormat="1" applyFont="1" applyFill="1" applyBorder="1" applyAlignment="1">
      <alignment horizontal="center" vertical="center"/>
    </xf>
    <xf numFmtId="199" fontId="157" fillId="0" borderId="35" xfId="16" applyNumberFormat="1" applyFont="1" applyBorder="1" applyAlignment="1">
      <alignment horizontal="center" vertical="center"/>
    </xf>
    <xf numFmtId="0" fontId="157" fillId="0" borderId="35" xfId="16" applyFont="1" applyBorder="1" applyAlignment="1">
      <alignment vertical="center"/>
    </xf>
    <xf numFmtId="10" fontId="157" fillId="0" borderId="59" xfId="16" applyNumberFormat="1" applyFont="1" applyFill="1" applyBorder="1" applyAlignment="1">
      <alignment horizontal="center" vertical="center"/>
    </xf>
    <xf numFmtId="0" fontId="157" fillId="0" borderId="59" xfId="16" applyFont="1" applyBorder="1" applyAlignment="1">
      <alignment horizontal="center" vertical="center"/>
    </xf>
    <xf numFmtId="0" fontId="157" fillId="0" borderId="35" xfId="16" applyFont="1" applyFill="1" applyBorder="1" applyAlignment="1">
      <alignment vertical="center"/>
    </xf>
    <xf numFmtId="199" fontId="157" fillId="0" borderId="59" xfId="16" applyNumberFormat="1" applyFont="1" applyFill="1" applyBorder="1" applyAlignment="1">
      <alignment horizontal="center" vertical="center"/>
    </xf>
    <xf numFmtId="10" fontId="157" fillId="0" borderId="35" xfId="16" applyNumberFormat="1" applyFont="1" applyBorder="1" applyAlignment="1">
      <alignment horizontal="center" vertical="center"/>
    </xf>
    <xf numFmtId="0" fontId="157" fillId="0" borderId="59" xfId="16" applyFont="1" applyFill="1" applyBorder="1" applyAlignment="1">
      <alignment horizontal="center" vertical="center"/>
    </xf>
    <xf numFmtId="199" fontId="157" fillId="0" borderId="59" xfId="16" applyNumberFormat="1" applyFont="1" applyBorder="1" applyAlignment="1">
      <alignment horizontal="center" vertical="center"/>
    </xf>
    <xf numFmtId="0" fontId="159" fillId="0" borderId="35" xfId="16" applyFont="1" applyBorder="1" applyAlignment="1">
      <alignment horizontal="left" vertical="center"/>
    </xf>
    <xf numFmtId="0" fontId="45" fillId="33" borderId="0" xfId="3" applyFont="1" applyFill="1" applyBorder="1" applyAlignment="1">
      <alignment vertical="center"/>
    </xf>
    <xf numFmtId="0" fontId="45" fillId="33" borderId="42" xfId="3" applyFont="1" applyFill="1" applyBorder="1" applyAlignment="1">
      <alignment horizontal="center" vertical="center"/>
    </xf>
    <xf numFmtId="0" fontId="157" fillId="0" borderId="60" xfId="16" applyFont="1" applyBorder="1" applyAlignment="1">
      <alignment horizontal="center" vertical="center"/>
    </xf>
    <xf numFmtId="199" fontId="157" fillId="0" borderId="60" xfId="16" applyNumberFormat="1" applyFont="1" applyFill="1" applyBorder="1" applyAlignment="1">
      <alignment horizontal="center" vertical="center"/>
    </xf>
    <xf numFmtId="0" fontId="159" fillId="0" borderId="60" xfId="16" applyFont="1" applyBorder="1" applyAlignment="1">
      <alignment horizontal="left" vertical="center"/>
    </xf>
    <xf numFmtId="199" fontId="157" fillId="0" borderId="60" xfId="16" applyNumberFormat="1" applyFont="1" applyBorder="1" applyAlignment="1">
      <alignment horizontal="center" vertical="center"/>
    </xf>
    <xf numFmtId="0" fontId="38" fillId="20" borderId="0" xfId="3" applyFont="1" applyFill="1"/>
    <xf numFmtId="0" fontId="157" fillId="0" borderId="60" xfId="16" applyFont="1" applyBorder="1" applyAlignment="1">
      <alignment vertical="center"/>
    </xf>
    <xf numFmtId="0" fontId="157" fillId="0" borderId="60" xfId="16" applyFont="1" applyBorder="1" applyAlignment="1">
      <alignment horizontal="center" vertical="center" wrapText="1"/>
    </xf>
    <xf numFmtId="0" fontId="159" fillId="0" borderId="60" xfId="16" applyFont="1" applyBorder="1" applyAlignment="1">
      <alignment horizontal="left" vertical="center" wrapText="1"/>
    </xf>
    <xf numFmtId="0" fontId="157" fillId="0" borderId="35" xfId="16" applyFont="1" applyBorder="1" applyAlignment="1">
      <alignment vertical="center" wrapText="1"/>
    </xf>
    <xf numFmtId="0" fontId="159" fillId="0" borderId="35" xfId="16" applyFont="1" applyFill="1" applyBorder="1" applyAlignment="1">
      <alignment horizontal="left" vertical="center"/>
    </xf>
    <xf numFmtId="199" fontId="157" fillId="0" borderId="35" xfId="16" applyNumberFormat="1" applyFont="1" applyFill="1" applyBorder="1" applyAlignment="1">
      <alignment horizontal="center" vertical="center"/>
    </xf>
    <xf numFmtId="10" fontId="157" fillId="0" borderId="59" xfId="16" applyNumberFormat="1" applyFont="1" applyBorder="1" applyAlignment="1">
      <alignment horizontal="center" vertical="center"/>
    </xf>
    <xf numFmtId="0" fontId="114" fillId="32" borderId="0" xfId="3" applyFont="1" applyFill="1" applyBorder="1" applyAlignment="1">
      <alignment horizontal="left" vertical="center"/>
    </xf>
    <xf numFmtId="0" fontId="114" fillId="32" borderId="42" xfId="3" applyFont="1" applyFill="1" applyBorder="1" applyAlignment="1">
      <alignment horizontal="center" vertical="center"/>
    </xf>
    <xf numFmtId="199" fontId="114" fillId="32" borderId="42" xfId="3" applyNumberFormat="1" applyFont="1" applyFill="1" applyBorder="1" applyAlignment="1">
      <alignment horizontal="center" vertical="center"/>
    </xf>
    <xf numFmtId="199" fontId="19" fillId="0" borderId="0" xfId="3" applyNumberFormat="1"/>
    <xf numFmtId="0" fontId="0" fillId="0" borderId="0" xfId="3" applyFont="1" applyFill="1" applyBorder="1" applyAlignment="1">
      <alignment horizontal="left" vertical="center"/>
    </xf>
    <xf numFmtId="0" fontId="0" fillId="0" borderId="0" xfId="3" applyFont="1" applyFill="1" applyBorder="1" applyAlignment="1">
      <alignment vertical="center"/>
    </xf>
    <xf numFmtId="0" fontId="19" fillId="0" borderId="0" xfId="3" applyFill="1"/>
    <xf numFmtId="199" fontId="19" fillId="0" borderId="0" xfId="3" applyNumberFormat="1" applyFill="1"/>
    <xf numFmtId="0" fontId="19" fillId="0" borderId="0" xfId="3" applyFont="1" applyFill="1"/>
    <xf numFmtId="199" fontId="130" fillId="0" borderId="0" xfId="3" applyNumberFormat="1" applyFont="1"/>
    <xf numFmtId="0" fontId="19" fillId="0" borderId="0" xfId="3" applyNumberFormat="1"/>
    <xf numFmtId="0" fontId="69" fillId="0" borderId="1" xfId="1" applyFont="1" applyFill="1" applyBorder="1" applyAlignment="1">
      <alignment vertical="center"/>
    </xf>
    <xf numFmtId="0" fontId="69" fillId="0" borderId="1" xfId="1" applyFont="1" applyFill="1" applyBorder="1" applyAlignment="1">
      <alignment horizontal="center" vertical="center"/>
    </xf>
    <xf numFmtId="0" fontId="115" fillId="8" borderId="0" xfId="1" applyFont="1" applyFill="1" applyBorder="1" applyAlignment="1">
      <alignment vertical="center"/>
    </xf>
    <xf numFmtId="0" fontId="33" fillId="0" borderId="0" xfId="6" applyFont="1" applyAlignment="1"/>
    <xf numFmtId="0" fontId="67" fillId="0" borderId="0" xfId="0" applyFont="1" applyAlignment="1">
      <alignment horizontal="center"/>
    </xf>
    <xf numFmtId="0" fontId="36" fillId="15" borderId="1" xfId="1" applyFont="1" applyFill="1" applyBorder="1" applyAlignment="1">
      <alignment vertical="center" wrapText="1"/>
    </xf>
    <xf numFmtId="0" fontId="36" fillId="0" borderId="1" xfId="0" applyFont="1" applyFill="1" applyBorder="1" applyAlignment="1">
      <alignment vertical="top" wrapText="1"/>
    </xf>
    <xf numFmtId="0" fontId="1" fillId="0" borderId="1" xfId="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181" fontId="1" fillId="0" borderId="1" xfId="1" applyNumberFormat="1" applyFont="1" applyFill="1" applyBorder="1" applyAlignment="1">
      <alignment horizontal="center" vertical="center"/>
    </xf>
    <xf numFmtId="10" fontId="1" fillId="0" borderId="1" xfId="1" applyNumberFormat="1" applyFont="1" applyFill="1" applyBorder="1" applyAlignment="1">
      <alignment vertical="center"/>
    </xf>
    <xf numFmtId="9" fontId="1" fillId="0" borderId="1" xfId="1" applyNumberFormat="1" applyFont="1" applyFill="1" applyBorder="1" applyAlignment="1">
      <alignment vertical="center"/>
    </xf>
    <xf numFmtId="0" fontId="1" fillId="0" borderId="2" xfId="1" applyFont="1" applyFill="1" applyBorder="1" applyAlignment="1">
      <alignment horizontal="center" vertical="center"/>
    </xf>
    <xf numFmtId="0" fontId="69" fillId="15" borderId="1" xfId="1" applyFont="1" applyFill="1" applyBorder="1" applyAlignment="1">
      <alignment vertical="center" wrapText="1"/>
    </xf>
    <xf numFmtId="9" fontId="69" fillId="0" borderId="1" xfId="33" applyFont="1" applyFill="1" applyBorder="1" applyAlignment="1">
      <alignment horizontal="center" vertical="center"/>
    </xf>
    <xf numFmtId="0" fontId="1" fillId="0" borderId="48" xfId="1" applyFont="1" applyFill="1" applyBorder="1" applyAlignment="1">
      <alignment horizontal="center" vertical="center" wrapText="1"/>
    </xf>
    <xf numFmtId="0" fontId="69" fillId="0" borderId="1" xfId="1" applyFont="1" applyFill="1" applyBorder="1" applyAlignment="1">
      <alignment vertical="top" wrapText="1"/>
    </xf>
    <xf numFmtId="174" fontId="1" fillId="0" borderId="48" xfId="33" applyNumberFormat="1" applyFont="1" applyFill="1" applyBorder="1" applyAlignment="1">
      <alignment horizontal="center" vertical="center" wrapText="1"/>
    </xf>
    <xf numFmtId="0" fontId="69" fillId="0" borderId="4" xfId="1" applyFont="1" applyFill="1" applyBorder="1" applyAlignment="1">
      <alignment horizontal="center" vertical="center"/>
    </xf>
    <xf numFmtId="0" fontId="1" fillId="0" borderId="1" xfId="1" applyFont="1" applyFill="1" applyBorder="1" applyAlignment="1">
      <alignment horizontal="center" vertical="top" wrapText="1"/>
    </xf>
    <xf numFmtId="0" fontId="1" fillId="0" borderId="61" xfId="1" applyFont="1" applyFill="1" applyBorder="1" applyAlignment="1">
      <alignment horizontal="center" vertical="top" wrapText="1"/>
    </xf>
    <xf numFmtId="9" fontId="36" fillId="0" borderId="4" xfId="33" applyFont="1" applyFill="1" applyBorder="1" applyAlignment="1">
      <alignment horizontal="center" vertical="center"/>
    </xf>
    <xf numFmtId="181" fontId="1" fillId="0" borderId="48" xfId="1" applyNumberFormat="1" applyFont="1" applyFill="1" applyBorder="1" applyAlignment="1">
      <alignment horizontal="center" vertical="center"/>
    </xf>
    <xf numFmtId="0" fontId="1" fillId="0" borderId="2" xfId="1" applyFont="1" applyFill="1" applyBorder="1" applyAlignment="1">
      <alignment horizontal="center" vertical="center" wrapText="1"/>
    </xf>
    <xf numFmtId="10" fontId="1" fillId="0" borderId="61" xfId="33" applyNumberFormat="1" applyFont="1" applyFill="1" applyBorder="1" applyAlignment="1">
      <alignment horizontal="center" vertical="center"/>
    </xf>
    <xf numFmtId="0" fontId="36" fillId="0" borderId="2" xfId="0" applyFont="1" applyFill="1" applyBorder="1" applyAlignment="1">
      <alignment vertical="top" wrapText="1"/>
    </xf>
    <xf numFmtId="181" fontId="1" fillId="0" borderId="1" xfId="1" applyNumberFormat="1" applyFont="1" applyFill="1" applyBorder="1" applyAlignment="1">
      <alignment horizontal="center" vertical="center" wrapText="1"/>
    </xf>
    <xf numFmtId="0" fontId="36" fillId="0" borderId="0" xfId="0" applyFont="1" applyFill="1" applyAlignment="1">
      <alignment horizontal="left" vertical="top"/>
    </xf>
    <xf numFmtId="181" fontId="1" fillId="0" borderId="4" xfId="1" applyNumberFormat="1" applyFont="1" applyFill="1" applyBorder="1" applyAlignment="1">
      <alignment horizontal="center" vertical="center"/>
    </xf>
    <xf numFmtId="0" fontId="36" fillId="0" borderId="2" xfId="0" applyFont="1" applyFill="1" applyBorder="1" applyAlignment="1">
      <alignment horizontal="left" vertical="top" wrapText="1"/>
    </xf>
    <xf numFmtId="0" fontId="36" fillId="0" borderId="4" xfId="1" applyFont="1" applyFill="1" applyBorder="1" applyAlignment="1">
      <alignment horizontal="center" vertical="center"/>
    </xf>
    <xf numFmtId="0" fontId="1" fillId="0" borderId="62" xfId="1" applyFont="1" applyFill="1" applyBorder="1" applyAlignment="1">
      <alignment horizontal="center" vertical="center" wrapText="1"/>
    </xf>
    <xf numFmtId="181" fontId="1" fillId="0" borderId="61" xfId="1" applyNumberFormat="1" applyFont="1" applyFill="1" applyBorder="1" applyAlignment="1">
      <alignment horizontal="center" vertical="center" wrapText="1"/>
    </xf>
    <xf numFmtId="0" fontId="0" fillId="0" borderId="2" xfId="0" applyBorder="1"/>
    <xf numFmtId="0" fontId="0" fillId="0" borderId="4" xfId="0" applyBorder="1"/>
    <xf numFmtId="0" fontId="0" fillId="0" borderId="4" xfId="0" applyBorder="1" applyAlignment="1">
      <alignment horizontal="center"/>
    </xf>
    <xf numFmtId="0" fontId="36" fillId="15" borderId="2" xfId="1" applyFont="1" applyFill="1" applyBorder="1" applyAlignment="1">
      <alignment horizontal="center" vertical="center"/>
    </xf>
    <xf numFmtId="9" fontId="36" fillId="15" borderId="4" xfId="33" applyFont="1" applyFill="1" applyBorder="1" applyAlignment="1">
      <alignment horizontal="center" vertical="center"/>
    </xf>
    <xf numFmtId="0" fontId="36" fillId="0" borderId="0" xfId="1" applyFont="1" applyFill="1" applyBorder="1" applyAlignment="1">
      <alignment vertical="top" wrapText="1"/>
    </xf>
    <xf numFmtId="0" fontId="36" fillId="0" borderId="1" xfId="1" applyFont="1" applyFill="1" applyBorder="1" applyAlignment="1">
      <alignment vertical="top" wrapText="1"/>
    </xf>
    <xf numFmtId="0" fontId="69" fillId="0" borderId="1" xfId="0" applyFont="1" applyFill="1" applyBorder="1" applyAlignment="1">
      <alignment vertical="top" wrapText="1"/>
    </xf>
    <xf numFmtId="0" fontId="36" fillId="0" borderId="1" xfId="0" applyFont="1" applyFill="1" applyBorder="1" applyAlignment="1">
      <alignment wrapText="1"/>
    </xf>
    <xf numFmtId="0" fontId="36" fillId="0" borderId="48" xfId="1" applyFont="1" applyFill="1" applyBorder="1" applyAlignment="1">
      <alignment horizontal="center" vertical="center"/>
    </xf>
    <xf numFmtId="0" fontId="1" fillId="0" borderId="1" xfId="1" applyFont="1" applyFill="1" applyBorder="1" applyAlignment="1">
      <alignment vertical="center" wrapText="1"/>
    </xf>
    <xf numFmtId="0" fontId="35" fillId="14" borderId="1" xfId="1" applyFont="1" applyFill="1" applyBorder="1" applyAlignment="1">
      <alignment horizontal="left" vertical="center" wrapText="1"/>
    </xf>
    <xf numFmtId="0" fontId="1" fillId="8" borderId="0" xfId="1" applyFont="1" applyFill="1" applyBorder="1" applyAlignment="1">
      <alignment horizontal="left" vertical="center" wrapText="1"/>
    </xf>
    <xf numFmtId="0" fontId="0" fillId="0" borderId="0" xfId="0" applyAlignment="1">
      <alignment horizontal="center"/>
    </xf>
    <xf numFmtId="0" fontId="62" fillId="20" borderId="0" xfId="3" applyFont="1" applyFill="1" applyBorder="1" applyAlignment="1">
      <alignment vertical="center"/>
    </xf>
    <xf numFmtId="0" fontId="161" fillId="20" borderId="0" xfId="3" applyFont="1" applyFill="1" applyBorder="1" applyAlignment="1">
      <alignment vertical="center"/>
    </xf>
    <xf numFmtId="0" fontId="106" fillId="34" borderId="0" xfId="3" applyFont="1" applyFill="1" applyBorder="1" applyAlignment="1">
      <alignment vertical="center"/>
    </xf>
    <xf numFmtId="0" fontId="45" fillId="34" borderId="0" xfId="3" applyFont="1" applyFill="1" applyBorder="1" applyAlignment="1">
      <alignment vertical="center"/>
    </xf>
    <xf numFmtId="0" fontId="162" fillId="0" borderId="0" xfId="3" applyFont="1"/>
    <xf numFmtId="0" fontId="64" fillId="0" borderId="0" xfId="3" applyFont="1"/>
    <xf numFmtId="0" fontId="0" fillId="20" borderId="0" xfId="3" applyFont="1" applyFill="1" applyBorder="1" applyAlignment="1">
      <alignment vertical="center"/>
    </xf>
    <xf numFmtId="0" fontId="163" fillId="20" borderId="0" xfId="3" applyFont="1" applyFill="1" applyBorder="1" applyAlignment="1">
      <alignment vertical="center"/>
    </xf>
    <xf numFmtId="0" fontId="163" fillId="0" borderId="0" xfId="3" applyFont="1"/>
    <xf numFmtId="0" fontId="163" fillId="0" borderId="0" xfId="3" applyFont="1" applyAlignment="1">
      <alignment horizontal="center"/>
    </xf>
    <xf numFmtId="0" fontId="164" fillId="0" borderId="0" xfId="3" applyFont="1"/>
    <xf numFmtId="0" fontId="164" fillId="0" borderId="0" xfId="3" applyFont="1" applyAlignment="1">
      <alignment horizontal="center"/>
    </xf>
    <xf numFmtId="0" fontId="127" fillId="32" borderId="63" xfId="3" applyFont="1" applyFill="1" applyBorder="1" applyAlignment="1">
      <alignment horizontal="center" vertical="center" wrapText="1"/>
    </xf>
    <xf numFmtId="0" fontId="112" fillId="22" borderId="63" xfId="3" applyFont="1" applyFill="1" applyBorder="1" applyAlignment="1">
      <alignment vertical="center"/>
    </xf>
    <xf numFmtId="0" fontId="112" fillId="22" borderId="63" xfId="3" applyFont="1" applyFill="1" applyBorder="1" applyAlignment="1">
      <alignment horizontal="center" vertical="center"/>
    </xf>
    <xf numFmtId="167" fontId="112" fillId="22" borderId="63" xfId="4" applyFont="1" applyFill="1" applyBorder="1" applyAlignment="1" applyProtection="1">
      <alignment horizontal="center" vertical="center"/>
    </xf>
    <xf numFmtId="0" fontId="0" fillId="20" borderId="63" xfId="3" applyFont="1" applyFill="1" applyBorder="1" applyAlignment="1">
      <alignment vertical="center"/>
    </xf>
    <xf numFmtId="0" fontId="112" fillId="20" borderId="63" xfId="3" applyFont="1" applyFill="1" applyBorder="1" applyAlignment="1">
      <alignment horizontal="center" vertical="center"/>
    </xf>
    <xf numFmtId="168" fontId="112" fillId="20" borderId="63" xfId="5" applyFont="1" applyFill="1" applyBorder="1" applyAlignment="1" applyProtection="1">
      <alignment horizontal="center" vertical="center"/>
    </xf>
    <xf numFmtId="167" fontId="112" fillId="20" borderId="63" xfId="4" applyFont="1" applyFill="1" applyBorder="1" applyAlignment="1" applyProtection="1">
      <alignment horizontal="center" vertical="center"/>
    </xf>
    <xf numFmtId="168" fontId="112" fillId="22" borderId="63" xfId="5" applyFont="1" applyFill="1" applyBorder="1" applyAlignment="1" applyProtection="1">
      <alignment horizontal="center" vertical="center"/>
    </xf>
    <xf numFmtId="179" fontId="112" fillId="22" borderId="63" xfId="5" applyNumberFormat="1" applyFont="1" applyFill="1" applyBorder="1" applyAlignment="1" applyProtection="1">
      <alignment horizontal="center" vertical="center"/>
    </xf>
    <xf numFmtId="179" fontId="112" fillId="20" borderId="63" xfId="5" applyNumberFormat="1" applyFont="1" applyFill="1" applyBorder="1" applyAlignment="1" applyProtection="1">
      <alignment horizontal="center" vertical="center"/>
    </xf>
    <xf numFmtId="179" fontId="112" fillId="0" borderId="63" xfId="5" applyNumberFormat="1" applyFont="1" applyFill="1" applyBorder="1" applyAlignment="1" applyProtection="1">
      <alignment horizontal="center" vertical="center"/>
    </xf>
    <xf numFmtId="168" fontId="112" fillId="0" borderId="63" xfId="5" applyFont="1" applyFill="1" applyBorder="1" applyAlignment="1" applyProtection="1">
      <alignment horizontal="center" vertical="center"/>
    </xf>
    <xf numFmtId="0" fontId="112" fillId="0" borderId="63" xfId="3" applyFont="1" applyFill="1" applyBorder="1" applyAlignment="1">
      <alignment horizontal="center" vertical="center"/>
    </xf>
    <xf numFmtId="0" fontId="45" fillId="22" borderId="63" xfId="3" applyFont="1" applyFill="1" applyBorder="1" applyAlignment="1">
      <alignment vertical="center"/>
    </xf>
    <xf numFmtId="0" fontId="45" fillId="22" borderId="63" xfId="3" applyFont="1" applyFill="1" applyBorder="1" applyAlignment="1">
      <alignment horizontal="center" vertical="center"/>
    </xf>
    <xf numFmtId="168" fontId="45" fillId="22" borderId="63" xfId="5" applyFont="1" applyFill="1" applyBorder="1" applyAlignment="1" applyProtection="1">
      <alignment horizontal="center" vertical="center"/>
    </xf>
    <xf numFmtId="167" fontId="45" fillId="22" borderId="63" xfId="4" applyFont="1" applyFill="1" applyBorder="1" applyAlignment="1" applyProtection="1">
      <alignment horizontal="center" vertical="center"/>
    </xf>
    <xf numFmtId="0" fontId="45" fillId="20" borderId="63" xfId="3" applyFont="1" applyFill="1" applyBorder="1" applyAlignment="1">
      <alignment horizontal="center" vertical="center"/>
    </xf>
    <xf numFmtId="168" fontId="45" fillId="20" borderId="63" xfId="5" applyFont="1" applyFill="1" applyBorder="1" applyAlignment="1" applyProtection="1">
      <alignment horizontal="center" vertical="center"/>
    </xf>
    <xf numFmtId="167" fontId="45" fillId="20" borderId="63" xfId="4" applyFont="1" applyFill="1" applyBorder="1" applyAlignment="1" applyProtection="1">
      <alignment horizontal="center" vertical="center"/>
    </xf>
    <xf numFmtId="179" fontId="112" fillId="20" borderId="63" xfId="3" applyNumberFormat="1" applyFont="1" applyFill="1" applyBorder="1" applyAlignment="1">
      <alignment horizontal="center" vertical="center"/>
    </xf>
    <xf numFmtId="167" fontId="112" fillId="0" borderId="63" xfId="4" applyFont="1" applyFill="1" applyBorder="1" applyAlignment="1" applyProtection="1">
      <alignment horizontal="center" vertical="center"/>
    </xf>
    <xf numFmtId="0" fontId="112" fillId="20" borderId="63" xfId="3" applyFont="1" applyFill="1" applyBorder="1" applyAlignment="1">
      <alignment vertical="center"/>
    </xf>
    <xf numFmtId="0" fontId="45" fillId="20" borderId="63" xfId="3" applyFont="1" applyFill="1" applyBorder="1" applyAlignment="1">
      <alignment vertical="center"/>
    </xf>
    <xf numFmtId="0" fontId="114" fillId="32" borderId="63" xfId="3" applyFont="1" applyFill="1" applyBorder="1" applyAlignment="1">
      <alignment horizontal="left" vertical="center"/>
    </xf>
    <xf numFmtId="0" fontId="114" fillId="32" borderId="63" xfId="3" applyFont="1" applyFill="1" applyBorder="1" applyAlignment="1">
      <alignment horizontal="center" vertical="center"/>
    </xf>
    <xf numFmtId="168" fontId="114" fillId="32" borderId="63" xfId="5" applyFont="1" applyFill="1" applyBorder="1" applyAlignment="1" applyProtection="1">
      <alignment horizontal="center" vertical="center"/>
    </xf>
    <xf numFmtId="167" fontId="114" fillId="32" borderId="63" xfId="4" applyFont="1" applyFill="1" applyBorder="1" applyAlignment="1" applyProtection="1">
      <alignment horizontal="center" vertical="center"/>
    </xf>
    <xf numFmtId="0" fontId="0" fillId="20" borderId="0" xfId="3" applyFont="1" applyFill="1" applyBorder="1" applyAlignment="1">
      <alignment horizontal="left" vertical="center"/>
    </xf>
    <xf numFmtId="0" fontId="165" fillId="0" borderId="0" xfId="3" applyFont="1"/>
    <xf numFmtId="0" fontId="166" fillId="0" borderId="0" xfId="3" applyFont="1"/>
    <xf numFmtId="0" fontId="3" fillId="0" borderId="1" xfId="0" applyFont="1" applyFill="1" applyBorder="1" applyAlignment="1">
      <alignment vertical="center"/>
    </xf>
    <xf numFmtId="0" fontId="6" fillId="0" borderId="0" xfId="0" applyFont="1" applyAlignment="1">
      <alignment horizontal="justify" wrapText="1"/>
    </xf>
    <xf numFmtId="0" fontId="6" fillId="0" borderId="0" xfId="0" applyFont="1" applyAlignment="1">
      <alignment horizontal="justify" vertical="center" wrapText="1"/>
    </xf>
    <xf numFmtId="0" fontId="0" fillId="0" borderId="0" xfId="0" applyFont="1" applyAlignment="1">
      <alignment horizontal="justify"/>
    </xf>
    <xf numFmtId="0" fontId="18" fillId="0" borderId="0" xfId="0" applyFont="1" applyAlignment="1">
      <alignment horizontal="center"/>
    </xf>
    <xf numFmtId="0" fontId="0" fillId="0" borderId="0" xfId="0" applyFont="1" applyAlignment="1"/>
    <xf numFmtId="0" fontId="24" fillId="0" borderId="0" xfId="0" applyFont="1" applyAlignment="1">
      <alignment horizontal="left"/>
    </xf>
    <xf numFmtId="0" fontId="25" fillId="0" borderId="0" xfId="0" applyFont="1" applyAlignment="1"/>
    <xf numFmtId="0" fontId="61" fillId="7" borderId="1" xfId="1" applyFont="1" applyFill="1" applyBorder="1" applyAlignment="1">
      <alignment horizontal="center" vertical="center" wrapText="1"/>
    </xf>
    <xf numFmtId="0" fontId="61" fillId="7" borderId="1" xfId="1" applyFont="1" applyFill="1" applyBorder="1" applyAlignment="1">
      <alignment horizontal="center" vertical="center"/>
    </xf>
    <xf numFmtId="0" fontId="38" fillId="0" borderId="0" xfId="0" applyFont="1" applyAlignment="1">
      <alignment horizontal="center"/>
    </xf>
    <xf numFmtId="49" fontId="45" fillId="6" borderId="0" xfId="1" applyNumberFormat="1" applyFont="1" applyFill="1" applyBorder="1" applyAlignment="1">
      <alignment horizontal="center" vertical="center"/>
    </xf>
    <xf numFmtId="0" fontId="45" fillId="7" borderId="1" xfId="1" applyFont="1" applyFill="1" applyBorder="1" applyAlignment="1">
      <alignment horizontal="center" vertical="center"/>
    </xf>
    <xf numFmtId="0" fontId="70" fillId="14" borderId="1" xfId="1" applyFont="1" applyFill="1" applyBorder="1" applyAlignment="1">
      <alignment horizontal="center" vertical="center" wrapText="1"/>
    </xf>
    <xf numFmtId="0" fontId="70" fillId="14" borderId="1" xfId="1" applyFont="1" applyFill="1" applyBorder="1" applyAlignment="1">
      <alignment horizontal="center" vertical="center"/>
    </xf>
    <xf numFmtId="49" fontId="69" fillId="8" borderId="0" xfId="1" applyNumberFormat="1" applyFont="1" applyFill="1" applyBorder="1" applyAlignment="1">
      <alignment horizontal="center" vertical="center"/>
    </xf>
    <xf numFmtId="0" fontId="35" fillId="14" borderId="1" xfId="1" applyFont="1" applyFill="1" applyBorder="1" applyAlignment="1">
      <alignment horizontal="center" vertical="center"/>
    </xf>
    <xf numFmtId="0" fontId="91" fillId="14" borderId="1" xfId="1" applyFont="1" applyFill="1" applyBorder="1" applyAlignment="1">
      <alignment horizontal="center" vertical="center" wrapText="1"/>
    </xf>
    <xf numFmtId="0" fontId="91" fillId="14" borderId="1" xfId="1" applyFont="1" applyFill="1" applyBorder="1" applyAlignment="1">
      <alignment horizontal="center" vertical="center"/>
    </xf>
    <xf numFmtId="49" fontId="86" fillId="8" borderId="0" xfId="1" applyNumberFormat="1" applyFont="1" applyFill="1" applyAlignment="1">
      <alignment horizontal="center" vertical="center"/>
    </xf>
    <xf numFmtId="0" fontId="70" fillId="14" borderId="7" xfId="1" applyFont="1" applyFill="1" applyBorder="1" applyAlignment="1">
      <alignment horizontal="center" vertical="center" wrapText="1"/>
    </xf>
    <xf numFmtId="0" fontId="70" fillId="14" borderId="6" xfId="1" applyFont="1" applyFill="1" applyBorder="1" applyAlignment="1">
      <alignment horizontal="center" vertical="center" wrapText="1"/>
    </xf>
    <xf numFmtId="0" fontId="107" fillId="0" borderId="0" xfId="0" applyFont="1" applyAlignment="1">
      <alignment wrapText="1"/>
    </xf>
    <xf numFmtId="0" fontId="66" fillId="0" borderId="0" xfId="0" applyFont="1" applyAlignment="1">
      <alignment wrapText="1"/>
    </xf>
    <xf numFmtId="0" fontId="66" fillId="0" borderId="0" xfId="0" applyFont="1" applyAlignment="1">
      <alignment horizontal="center"/>
    </xf>
    <xf numFmtId="0" fontId="76" fillId="0" borderId="0" xfId="0" applyFont="1" applyAlignment="1">
      <alignment horizontal="center"/>
    </xf>
    <xf numFmtId="0" fontId="108" fillId="8" borderId="7" xfId="1" applyFont="1" applyFill="1" applyBorder="1" applyAlignment="1">
      <alignment horizontal="center" vertical="center" wrapText="1"/>
    </xf>
    <xf numFmtId="0" fontId="108" fillId="8" borderId="6" xfId="1" applyFont="1" applyFill="1" applyBorder="1" applyAlignment="1">
      <alignment horizontal="center" vertical="center" wrapText="1"/>
    </xf>
    <xf numFmtId="44" fontId="36" fillId="0" borderId="7" xfId="32" applyFont="1" applyFill="1" applyBorder="1" applyAlignment="1">
      <alignment horizontal="center" vertical="center"/>
    </xf>
    <xf numFmtId="44" fontId="36" fillId="0" borderId="6" xfId="32" applyFont="1" applyFill="1" applyBorder="1" applyAlignment="1">
      <alignment horizontal="center" vertical="center"/>
    </xf>
    <xf numFmtId="0" fontId="1" fillId="8" borderId="7" xfId="1" applyFont="1" applyFill="1" applyBorder="1" applyAlignment="1">
      <alignment horizontal="left" vertical="center"/>
    </xf>
    <xf numFmtId="0" fontId="1" fillId="8" borderId="6" xfId="1" applyFont="1" applyFill="1" applyBorder="1" applyAlignment="1">
      <alignment horizontal="left" vertical="center"/>
    </xf>
    <xf numFmtId="0" fontId="36" fillId="8" borderId="7" xfId="1" applyFont="1" applyFill="1" applyBorder="1" applyAlignment="1">
      <alignment horizontal="center" vertical="center" wrapText="1"/>
    </xf>
    <xf numFmtId="0" fontId="36" fillId="8" borderId="6" xfId="1" applyFont="1" applyFill="1" applyBorder="1" applyAlignment="1">
      <alignment horizontal="center" vertical="center" wrapText="1"/>
    </xf>
    <xf numFmtId="9" fontId="36" fillId="8" borderId="7" xfId="33" applyFont="1" applyFill="1" applyBorder="1" applyAlignment="1">
      <alignment horizontal="center" vertical="center"/>
    </xf>
    <xf numFmtId="9" fontId="36" fillId="8" borderId="6" xfId="33" applyFont="1" applyFill="1" applyBorder="1" applyAlignment="1">
      <alignment horizontal="center" vertical="center"/>
    </xf>
    <xf numFmtId="0" fontId="36" fillId="8" borderId="7" xfId="1" applyFont="1" applyFill="1" applyBorder="1" applyAlignment="1">
      <alignment horizontal="center" vertical="center"/>
    </xf>
    <xf numFmtId="0" fontId="36" fillId="8" borderId="6" xfId="1" applyFont="1" applyFill="1" applyBorder="1" applyAlignment="1">
      <alignment horizontal="center" vertical="center"/>
    </xf>
    <xf numFmtId="44" fontId="91" fillId="14" borderId="10" xfId="1" applyNumberFormat="1" applyFont="1" applyFill="1" applyBorder="1" applyAlignment="1">
      <alignment horizontal="center" vertical="center" wrapText="1"/>
    </xf>
    <xf numFmtId="44" fontId="91" fillId="14" borderId="11" xfId="1" applyNumberFormat="1" applyFont="1" applyFill="1" applyBorder="1" applyAlignment="1">
      <alignment horizontal="center" vertical="center" wrapText="1"/>
    </xf>
    <xf numFmtId="0" fontId="91" fillId="14" borderId="12" xfId="1" applyFont="1" applyFill="1" applyBorder="1" applyAlignment="1">
      <alignment horizontal="center" vertical="center" wrapText="1"/>
    </xf>
    <xf numFmtId="0" fontId="91" fillId="14" borderId="17" xfId="1" applyFont="1" applyFill="1" applyBorder="1" applyAlignment="1">
      <alignment horizontal="center" vertical="center" wrapText="1"/>
    </xf>
    <xf numFmtId="44" fontId="88" fillId="0" borderId="27" xfId="32" applyFont="1" applyFill="1" applyBorder="1" applyAlignment="1">
      <alignment horizontal="center" vertical="center"/>
    </xf>
    <xf numFmtId="44" fontId="88" fillId="0" borderId="28" xfId="32" applyFont="1" applyFill="1" applyBorder="1" applyAlignment="1">
      <alignment horizontal="center" vertical="center"/>
    </xf>
    <xf numFmtId="10" fontId="86" fillId="8" borderId="2" xfId="33" applyNumberFormat="1" applyFont="1" applyFill="1" applyBorder="1" applyAlignment="1">
      <alignment horizontal="center" vertical="center"/>
    </xf>
    <xf numFmtId="10" fontId="86" fillId="8" borderId="5" xfId="33" applyNumberFormat="1" applyFont="1" applyFill="1" applyBorder="1" applyAlignment="1">
      <alignment horizontal="center" vertical="center"/>
    </xf>
    <xf numFmtId="10" fontId="86" fillId="8" borderId="4" xfId="33" applyNumberFormat="1" applyFont="1" applyFill="1" applyBorder="1" applyAlignment="1">
      <alignment horizontal="center" vertical="center"/>
    </xf>
    <xf numFmtId="0" fontId="86" fillId="14" borderId="8" xfId="1" applyFont="1" applyFill="1" applyBorder="1" applyAlignment="1">
      <alignment horizontal="center" vertical="center"/>
    </xf>
    <xf numFmtId="0" fontId="86" fillId="14" borderId="14" xfId="1" applyFont="1" applyFill="1" applyBorder="1" applyAlignment="1">
      <alignment horizontal="center" vertical="center"/>
    </xf>
    <xf numFmtId="0" fontId="91" fillId="14" borderId="9" xfId="1" applyFont="1" applyFill="1" applyBorder="1" applyAlignment="1">
      <alignment horizontal="center" vertical="center" wrapText="1"/>
    </xf>
    <xf numFmtId="0" fontId="91" fillId="14" borderId="15" xfId="1" applyFont="1" applyFill="1" applyBorder="1" applyAlignment="1">
      <alignment horizontal="center" vertical="center" wrapText="1"/>
    </xf>
    <xf numFmtId="0" fontId="91" fillId="14" borderId="10" xfId="1" applyFont="1" applyFill="1" applyBorder="1" applyAlignment="1">
      <alignment horizontal="center" vertical="center" wrapText="1"/>
    </xf>
    <xf numFmtId="0" fontId="91" fillId="14" borderId="11" xfId="1" applyFont="1" applyFill="1" applyBorder="1" applyAlignment="1">
      <alignment horizontal="center" vertical="center" wrapText="1"/>
    </xf>
    <xf numFmtId="0" fontId="114" fillId="21" borderId="35" xfId="9" applyFont="1" applyFill="1" applyBorder="1" applyAlignment="1">
      <alignment horizontal="center" vertical="center" wrapText="1"/>
    </xf>
    <xf numFmtId="0" fontId="114" fillId="21" borderId="35" xfId="9" applyFont="1" applyFill="1" applyBorder="1" applyAlignment="1">
      <alignment horizontal="center" vertical="center"/>
    </xf>
    <xf numFmtId="49" fontId="112" fillId="20" borderId="0" xfId="9" applyNumberFormat="1" applyFont="1" applyFill="1" applyBorder="1" applyAlignment="1">
      <alignment horizontal="center"/>
    </xf>
    <xf numFmtId="0" fontId="35" fillId="14" borderId="37" xfId="20" applyFont="1" applyFill="1" applyBorder="1" applyAlignment="1">
      <alignment horizontal="center" vertical="center" wrapText="1"/>
    </xf>
    <xf numFmtId="0" fontId="35" fillId="14" borderId="1" xfId="20" applyFont="1" applyFill="1" applyBorder="1" applyAlignment="1">
      <alignment horizontal="center" vertical="center" wrapText="1"/>
    </xf>
    <xf numFmtId="44" fontId="35" fillId="14" borderId="38" xfId="19" applyFont="1" applyFill="1" applyBorder="1" applyAlignment="1">
      <alignment horizontal="center" vertical="center"/>
    </xf>
    <xf numFmtId="44" fontId="35" fillId="14" borderId="39" xfId="19" applyFont="1" applyFill="1" applyBorder="1" applyAlignment="1">
      <alignment horizontal="center" vertical="center"/>
    </xf>
    <xf numFmtId="49" fontId="69" fillId="8" borderId="0" xfId="20" applyNumberFormat="1" applyFont="1" applyFill="1" applyBorder="1" applyAlignment="1">
      <alignment horizontal="center" vertical="center"/>
    </xf>
    <xf numFmtId="0" fontId="35" fillId="14" borderId="36" xfId="20" applyFont="1" applyFill="1" applyBorder="1" applyAlignment="1">
      <alignment horizontal="center" vertical="center"/>
    </xf>
    <xf numFmtId="0" fontId="35" fillId="14" borderId="29" xfId="20" applyFont="1" applyFill="1" applyBorder="1" applyAlignment="1">
      <alignment horizontal="center" vertical="center"/>
    </xf>
    <xf numFmtId="0" fontId="69" fillId="0" borderId="0" xfId="0" applyFont="1" applyAlignment="1">
      <alignment horizontal="center"/>
    </xf>
    <xf numFmtId="0" fontId="36" fillId="8" borderId="7" xfId="1" applyFont="1" applyFill="1" applyBorder="1" applyAlignment="1">
      <alignment horizontal="left" vertical="center" wrapText="1"/>
    </xf>
    <xf numFmtId="0" fontId="36" fillId="8" borderId="24" xfId="1" applyFont="1" applyFill="1" applyBorder="1" applyAlignment="1">
      <alignment horizontal="left" vertical="center" wrapText="1"/>
    </xf>
    <xf numFmtId="0" fontId="36" fillId="8" borderId="6" xfId="1" applyFont="1" applyFill="1" applyBorder="1" applyAlignment="1">
      <alignment horizontal="left" vertical="center" wrapText="1"/>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9" fontId="0" fillId="8" borderId="7" xfId="33" applyFont="1" applyFill="1" applyBorder="1" applyAlignment="1">
      <alignment horizontal="center" vertical="center" wrapText="1"/>
    </xf>
    <xf numFmtId="9" fontId="0" fillId="8" borderId="24" xfId="33" applyFont="1" applyFill="1" applyBorder="1" applyAlignment="1">
      <alignment horizontal="center" vertical="center" wrapText="1"/>
    </xf>
    <xf numFmtId="9" fontId="0" fillId="8" borderId="6" xfId="33" applyFont="1" applyFill="1" applyBorder="1" applyAlignment="1">
      <alignment horizontal="center" vertical="center" wrapText="1"/>
    </xf>
    <xf numFmtId="0" fontId="36" fillId="8" borderId="24" xfId="1" applyFont="1" applyFill="1" applyBorder="1" applyAlignment="1">
      <alignment horizontal="center" vertical="center" wrapText="1"/>
    </xf>
    <xf numFmtId="44" fontId="36" fillId="8" borderId="7" xfId="32" applyFont="1" applyFill="1" applyBorder="1" applyAlignment="1">
      <alignment horizontal="center" vertical="center"/>
    </xf>
    <xf numFmtId="44" fontId="36" fillId="8" borderId="24" xfId="32" applyFont="1" applyFill="1" applyBorder="1" applyAlignment="1">
      <alignment horizontal="center" vertical="center"/>
    </xf>
    <xf numFmtId="44" fontId="36" fillId="8" borderId="6" xfId="32" applyFont="1" applyFill="1" applyBorder="1" applyAlignment="1">
      <alignment horizontal="center" vertical="center"/>
    </xf>
    <xf numFmtId="0" fontId="0" fillId="8" borderId="7" xfId="1" applyFont="1" applyFill="1" applyBorder="1" applyAlignment="1">
      <alignment horizontal="left" vertical="top" wrapText="1"/>
    </xf>
    <xf numFmtId="0" fontId="0" fillId="8" borderId="24" xfId="1" applyFont="1" applyFill="1" applyBorder="1" applyAlignment="1">
      <alignment horizontal="left" vertical="top" wrapText="1"/>
    </xf>
    <xf numFmtId="0" fontId="0" fillId="8" borderId="6" xfId="1" applyFont="1" applyFill="1" applyBorder="1" applyAlignment="1">
      <alignment horizontal="left" vertical="top" wrapText="1"/>
    </xf>
    <xf numFmtId="10" fontId="36" fillId="8" borderId="2" xfId="33" applyNumberFormat="1" applyFont="1" applyFill="1" applyBorder="1" applyAlignment="1">
      <alignment horizontal="center" vertical="center" wrapText="1"/>
    </xf>
    <xf numFmtId="10" fontId="36" fillId="8" borderId="4" xfId="33" applyNumberFormat="1" applyFont="1" applyFill="1" applyBorder="1" applyAlignment="1">
      <alignment horizontal="center" vertical="center" wrapText="1"/>
    </xf>
    <xf numFmtId="0" fontId="79" fillId="0" borderId="0" xfId="0" applyFont="1" applyAlignment="1">
      <alignment horizontal="left" wrapText="1"/>
    </xf>
    <xf numFmtId="0" fontId="36" fillId="8" borderId="24" xfId="1" applyFont="1" applyFill="1" applyBorder="1" applyAlignment="1">
      <alignment horizontal="center" vertical="center"/>
    </xf>
    <xf numFmtId="0" fontId="1" fillId="8" borderId="7" xfId="1" applyFont="1" applyFill="1" applyBorder="1" applyAlignment="1">
      <alignment horizontal="center" vertical="center" wrapText="1"/>
    </xf>
    <xf numFmtId="0" fontId="1" fillId="8" borderId="24" xfId="1" applyFont="1" applyFill="1" applyBorder="1" applyAlignment="1">
      <alignment horizontal="center" vertical="center" wrapText="1"/>
    </xf>
    <xf numFmtId="0" fontId="1" fillId="8" borderId="6" xfId="1" applyFont="1" applyFill="1" applyBorder="1" applyAlignment="1">
      <alignment horizontal="center" vertical="center" wrapText="1"/>
    </xf>
    <xf numFmtId="169" fontId="70" fillId="14" borderId="1" xfId="1" applyNumberFormat="1" applyFont="1" applyFill="1" applyBorder="1" applyAlignment="1">
      <alignment horizontal="center" vertical="center"/>
    </xf>
    <xf numFmtId="0" fontId="3" fillId="0" borderId="0" xfId="0" applyFont="1" applyAlignment="1">
      <alignment horizontal="left" wrapText="1"/>
    </xf>
    <xf numFmtId="0" fontId="70" fillId="14" borderId="1" xfId="1" applyFont="1" applyFill="1" applyBorder="1" applyAlignment="1">
      <alignment vertical="center" wrapText="1"/>
    </xf>
    <xf numFmtId="44" fontId="0" fillId="0" borderId="1" xfId="0" applyNumberFormat="1" applyBorder="1" applyAlignment="1">
      <alignment horizontal="center"/>
    </xf>
    <xf numFmtId="49" fontId="69" fillId="8" borderId="0" xfId="1" applyNumberFormat="1" applyFont="1" applyFill="1" applyBorder="1" applyAlignment="1">
      <alignment vertical="center"/>
    </xf>
    <xf numFmtId="0" fontId="127" fillId="7" borderId="42" xfId="1" applyFont="1" applyFill="1" applyBorder="1" applyAlignment="1">
      <alignment horizontal="center" vertical="center" wrapText="1"/>
    </xf>
    <xf numFmtId="4" fontId="127" fillId="7" borderId="42" xfId="1" applyNumberFormat="1" applyFont="1" applyFill="1" applyBorder="1" applyAlignment="1">
      <alignment horizontal="center" vertical="center"/>
    </xf>
    <xf numFmtId="0" fontId="127" fillId="7" borderId="42" xfId="1" applyFont="1" applyFill="1" applyBorder="1" applyAlignment="1">
      <alignment horizontal="center" vertical="center"/>
    </xf>
    <xf numFmtId="49" fontId="61" fillId="6" borderId="0" xfId="1" applyNumberFormat="1" applyFont="1" applyFill="1" applyBorder="1" applyAlignment="1">
      <alignment horizontal="center" vertical="center"/>
    </xf>
    <xf numFmtId="0" fontId="127" fillId="7" borderId="0" xfId="1" applyFont="1" applyFill="1" applyBorder="1" applyAlignment="1">
      <alignment horizontal="center" vertical="center"/>
    </xf>
    <xf numFmtId="0" fontId="127" fillId="7" borderId="43" xfId="1" applyFont="1" applyFill="1" applyBorder="1" applyAlignment="1">
      <alignment horizontal="center" vertical="center" wrapText="1"/>
    </xf>
    <xf numFmtId="0" fontId="127" fillId="7" borderId="44" xfId="1" applyFont="1" applyFill="1" applyBorder="1" applyAlignment="1">
      <alignment horizontal="center" vertical="center" wrapText="1"/>
    </xf>
    <xf numFmtId="0" fontId="70" fillId="14" borderId="48" xfId="1" applyFont="1" applyFill="1" applyBorder="1" applyAlignment="1">
      <alignment horizontal="center" vertical="center" wrapText="1"/>
    </xf>
    <xf numFmtId="0" fontId="70" fillId="14" borderId="48" xfId="1" applyFont="1" applyFill="1" applyBorder="1" applyAlignment="1">
      <alignment horizontal="center" vertical="center"/>
    </xf>
    <xf numFmtId="0" fontId="35" fillId="14" borderId="0" xfId="1" applyFont="1" applyFill="1" applyBorder="1" applyAlignment="1">
      <alignment horizontal="center" vertical="center"/>
    </xf>
    <xf numFmtId="0" fontId="70" fillId="14" borderId="49" xfId="1" applyFont="1" applyFill="1" applyBorder="1" applyAlignment="1">
      <alignment horizontal="center" vertical="center" wrapText="1"/>
    </xf>
    <xf numFmtId="0" fontId="70" fillId="14" borderId="50" xfId="1" applyFont="1" applyFill="1" applyBorder="1" applyAlignment="1">
      <alignment horizontal="center" vertical="center" wrapText="1"/>
    </xf>
    <xf numFmtId="49" fontId="69" fillId="8" borderId="0" xfId="1" applyNumberFormat="1" applyFont="1" applyFill="1" applyAlignment="1">
      <alignment horizontal="center" vertical="center"/>
    </xf>
    <xf numFmtId="0" fontId="35" fillId="14" borderId="0" xfId="1" applyFont="1" applyFill="1" applyAlignment="1">
      <alignment horizontal="center" vertical="center"/>
    </xf>
    <xf numFmtId="43" fontId="70" fillId="14" borderId="1" xfId="31" applyFont="1" applyFill="1" applyBorder="1" applyAlignment="1">
      <alignment horizontal="center" vertical="center" wrapText="1"/>
    </xf>
    <xf numFmtId="0" fontId="0" fillId="0" borderId="0" xfId="0" applyAlignment="1">
      <alignment horizontal="center" vertical="center"/>
    </xf>
    <xf numFmtId="43" fontId="69" fillId="8" borderId="0" xfId="31" applyFont="1" applyFill="1" applyBorder="1" applyAlignment="1">
      <alignment horizontal="center" vertical="center"/>
    </xf>
    <xf numFmtId="44" fontId="69" fillId="8" borderId="7" xfId="32" applyFont="1" applyFill="1" applyBorder="1" applyAlignment="1">
      <alignment horizontal="center" vertical="center"/>
    </xf>
    <xf numFmtId="44" fontId="69" fillId="8" borderId="24" xfId="32" applyFont="1" applyFill="1" applyBorder="1" applyAlignment="1">
      <alignment horizontal="center" vertical="center"/>
    </xf>
    <xf numFmtId="44" fontId="69" fillId="8" borderId="6" xfId="32" applyFont="1" applyFill="1" applyBorder="1" applyAlignment="1">
      <alignment horizontal="center" vertical="center"/>
    </xf>
    <xf numFmtId="44" fontId="70" fillId="14" borderId="48" xfId="32" applyFont="1" applyFill="1" applyBorder="1" applyAlignment="1">
      <alignment horizontal="center" vertical="center"/>
    </xf>
    <xf numFmtId="44" fontId="36" fillId="8" borderId="1" xfId="32" applyFont="1" applyFill="1" applyBorder="1" applyAlignment="1">
      <alignment horizontal="center" vertical="center"/>
    </xf>
    <xf numFmtId="44" fontId="36" fillId="0" borderId="1" xfId="32" applyFont="1" applyFill="1" applyBorder="1" applyAlignment="1">
      <alignment horizontal="center" vertical="center"/>
    </xf>
    <xf numFmtId="44" fontId="69" fillId="0" borderId="7" xfId="32" applyFont="1" applyFill="1" applyBorder="1" applyAlignment="1">
      <alignment horizontal="center" vertical="center"/>
    </xf>
    <xf numFmtId="44" fontId="69" fillId="0" borderId="6" xfId="32" applyFont="1" applyFill="1" applyBorder="1" applyAlignment="1">
      <alignment horizontal="center" vertical="center"/>
    </xf>
    <xf numFmtId="0" fontId="70" fillId="14" borderId="55" xfId="1" applyFont="1" applyFill="1" applyBorder="1" applyAlignment="1">
      <alignment horizontal="center" vertical="center"/>
    </xf>
    <xf numFmtId="185" fontId="78" fillId="0" borderId="7" xfId="0" applyNumberFormat="1" applyFont="1" applyBorder="1" applyAlignment="1">
      <alignment horizontal="center" vertical="center"/>
    </xf>
    <xf numFmtId="185" fontId="78" fillId="0" borderId="6" xfId="0" applyNumberFormat="1" applyFont="1" applyBorder="1" applyAlignment="1">
      <alignment horizontal="center" vertical="center"/>
    </xf>
    <xf numFmtId="185" fontId="78" fillId="0" borderId="7" xfId="0" applyNumberFormat="1" applyFont="1" applyBorder="1" applyAlignment="1">
      <alignment horizontal="right" vertical="center"/>
    </xf>
    <xf numFmtId="185" fontId="78" fillId="0" borderId="6" xfId="0" applyNumberFormat="1" applyFont="1" applyBorder="1" applyAlignment="1">
      <alignment horizontal="right" vertical="center"/>
    </xf>
    <xf numFmtId="49" fontId="125" fillId="8" borderId="0" xfId="1" applyNumberFormat="1" applyFont="1" applyFill="1" applyBorder="1" applyAlignment="1">
      <alignment horizontal="center" vertical="center"/>
    </xf>
    <xf numFmtId="0" fontId="140" fillId="14" borderId="48" xfId="1" applyFont="1" applyFill="1" applyBorder="1" applyAlignment="1">
      <alignment horizontal="center" vertical="center" wrapText="1"/>
    </xf>
    <xf numFmtId="0" fontId="141" fillId="14" borderId="49" xfId="1" applyFont="1" applyFill="1" applyBorder="1" applyAlignment="1">
      <alignment horizontal="center" vertical="center" wrapText="1"/>
    </xf>
    <xf numFmtId="0" fontId="141" fillId="14" borderId="50" xfId="1" applyFont="1" applyFill="1" applyBorder="1" applyAlignment="1">
      <alignment horizontal="center" vertical="center" wrapText="1"/>
    </xf>
    <xf numFmtId="0" fontId="147" fillId="14" borderId="33" xfId="1" applyFont="1" applyFill="1" applyBorder="1" applyAlignment="1">
      <alignment horizontal="center" vertical="center" wrapText="1"/>
    </xf>
    <xf numFmtId="0" fontId="147" fillId="14" borderId="58" xfId="1" applyFont="1" applyFill="1" applyBorder="1" applyAlignment="1">
      <alignment horizontal="center" vertical="center" wrapText="1"/>
    </xf>
    <xf numFmtId="0" fontId="140" fillId="14" borderId="7" xfId="1" applyFont="1" applyFill="1" applyBorder="1" applyAlignment="1">
      <alignment horizontal="center" vertical="center"/>
    </xf>
    <xf numFmtId="0" fontId="140" fillId="14" borderId="6" xfId="1" applyFont="1" applyFill="1" applyBorder="1" applyAlignment="1">
      <alignment horizontal="center" vertical="center"/>
    </xf>
    <xf numFmtId="0" fontId="140" fillId="14" borderId="33" xfId="1" applyFont="1" applyFill="1" applyBorder="1" applyAlignment="1">
      <alignment horizontal="center" vertical="center" wrapText="1"/>
    </xf>
    <xf numFmtId="0" fontId="140" fillId="14" borderId="32" xfId="1" applyFont="1" applyFill="1" applyBorder="1" applyAlignment="1">
      <alignment horizontal="center" vertical="center" wrapText="1"/>
    </xf>
    <xf numFmtId="0" fontId="140" fillId="14" borderId="7" xfId="1" applyFont="1" applyFill="1" applyBorder="1" applyAlignment="1">
      <alignment horizontal="center" vertical="center" wrapText="1"/>
    </xf>
    <xf numFmtId="0" fontId="140" fillId="14" borderId="6" xfId="1" applyFont="1" applyFill="1" applyBorder="1" applyAlignment="1">
      <alignment horizontal="center" vertical="center" wrapText="1"/>
    </xf>
    <xf numFmtId="0" fontId="140" fillId="14" borderId="5" xfId="1" applyFont="1" applyFill="1" applyBorder="1" applyAlignment="1">
      <alignment horizontal="center" vertical="center" wrapText="1"/>
    </xf>
    <xf numFmtId="0" fontId="140" fillId="14" borderId="4" xfId="1" applyFont="1" applyFill="1" applyBorder="1" applyAlignment="1">
      <alignment horizontal="center" vertical="center" wrapText="1"/>
    </xf>
    <xf numFmtId="0" fontId="140" fillId="14" borderId="58" xfId="1" applyFont="1" applyFill="1" applyBorder="1" applyAlignment="1">
      <alignment horizontal="center" vertical="center" wrapText="1"/>
    </xf>
    <xf numFmtId="0" fontId="140" fillId="14" borderId="2" xfId="1" applyFont="1" applyFill="1" applyBorder="1" applyAlignment="1">
      <alignment horizontal="center" vertical="center" wrapText="1"/>
    </xf>
    <xf numFmtId="0" fontId="127" fillId="32" borderId="42" xfId="3" applyFont="1" applyFill="1" applyBorder="1" applyAlignment="1">
      <alignment horizontal="center" vertical="center" wrapText="1"/>
    </xf>
    <xf numFmtId="49" fontId="45" fillId="20" borderId="0" xfId="3" applyNumberFormat="1" applyFont="1" applyFill="1" applyBorder="1" applyAlignment="1">
      <alignment horizontal="center" vertical="center"/>
    </xf>
    <xf numFmtId="0" fontId="114" fillId="32" borderId="0" xfId="3" applyFont="1" applyFill="1" applyBorder="1" applyAlignment="1">
      <alignment horizontal="center" vertical="center"/>
    </xf>
    <xf numFmtId="0" fontId="127" fillId="32" borderId="45" xfId="3" applyFont="1" applyFill="1" applyBorder="1" applyAlignment="1">
      <alignment horizontal="center" vertical="center" wrapText="1"/>
    </xf>
    <xf numFmtId="0" fontId="127" fillId="32" borderId="63" xfId="3" applyFont="1" applyFill="1" applyBorder="1" applyAlignment="1">
      <alignment horizontal="center" vertical="center" wrapText="1"/>
    </xf>
    <xf numFmtId="0" fontId="127" fillId="32" borderId="63" xfId="3" applyFont="1" applyFill="1" applyBorder="1" applyAlignment="1">
      <alignment horizontal="center" vertical="center"/>
    </xf>
    <xf numFmtId="0" fontId="162" fillId="0" borderId="0" xfId="3" applyFont="1" applyBorder="1" applyAlignment="1">
      <alignment wrapText="1"/>
    </xf>
    <xf numFmtId="0" fontId="163" fillId="0" borderId="0" xfId="3" applyFont="1" applyBorder="1" applyAlignment="1">
      <alignment horizontal="center"/>
    </xf>
    <xf numFmtId="0" fontId="164" fillId="0" borderId="0" xfId="3" applyFont="1" applyBorder="1" applyAlignment="1">
      <alignment horizontal="center"/>
    </xf>
    <xf numFmtId="0" fontId="114" fillId="32" borderId="63" xfId="3" applyFont="1" applyFill="1" applyBorder="1" applyAlignment="1">
      <alignment horizontal="center" vertical="center"/>
    </xf>
    <xf numFmtId="14" fontId="24" fillId="8" borderId="0" xfId="0" applyNumberFormat="1" applyFont="1" applyFill="1" applyAlignment="1"/>
    <xf numFmtId="14" fontId="24" fillId="8" borderId="0" xfId="0" applyNumberFormat="1" applyFont="1" applyFill="1" applyAlignment="1">
      <alignment horizontal="center"/>
    </xf>
    <xf numFmtId="0" fontId="3" fillId="3" borderId="1" xfId="0" applyFont="1" applyFill="1" applyBorder="1" applyAlignment="1">
      <alignment horizontal="center" vertical="center"/>
    </xf>
    <xf numFmtId="14" fontId="3" fillId="8" borderId="1" xfId="0" applyNumberFormat="1" applyFont="1" applyFill="1" applyBorder="1"/>
    <xf numFmtId="0" fontId="16" fillId="3" borderId="1" xfId="0" applyFont="1" applyFill="1" applyBorder="1" applyAlignment="1">
      <alignment horizontal="center" vertical="center"/>
    </xf>
    <xf numFmtId="0" fontId="3" fillId="8" borderId="1" xfId="0" applyFont="1" applyFill="1" applyBorder="1"/>
    <xf numFmtId="0" fontId="33" fillId="3" borderId="1" xfId="0" applyFont="1" applyFill="1" applyBorder="1" applyAlignment="1">
      <alignment horizontal="center" vertical="center"/>
    </xf>
    <xf numFmtId="0" fontId="3" fillId="8" borderId="1" xfId="0" applyFont="1" applyFill="1" applyBorder="1" applyAlignment="1">
      <alignment horizontal="center" vertical="center"/>
    </xf>
    <xf numFmtId="0" fontId="16" fillId="8" borderId="1" xfId="0" applyFont="1" applyFill="1" applyBorder="1" applyAlignment="1">
      <alignment horizontal="center" vertical="center"/>
    </xf>
    <xf numFmtId="0" fontId="6" fillId="8" borderId="0" xfId="0" applyFont="1" applyFill="1" applyAlignment="1">
      <alignment horizontal="justify" vertical="center" wrapText="1"/>
    </xf>
    <xf numFmtId="0" fontId="0" fillId="8" borderId="0" xfId="0" applyFont="1" applyFill="1" applyAlignment="1">
      <alignment horizontal="justify"/>
    </xf>
  </cellXfs>
  <cellStyles count="36">
    <cellStyle name="Excel Built-in Normal 1" xfId="16"/>
    <cellStyle name="Millares" xfId="31" builtinId="3"/>
    <cellStyle name="Millares [0]" xfId="34" builtinId="6"/>
    <cellStyle name="Millares 2" xfId="27"/>
    <cellStyle name="Millares 3" xfId="24"/>
    <cellStyle name="Moneda" xfId="32" builtinId="4"/>
    <cellStyle name="Moneda 2" xfId="4"/>
    <cellStyle name="Moneda 2 2" xfId="7"/>
    <cellStyle name="Moneda 3" xfId="10"/>
    <cellStyle name="Moneda 4" xfId="13"/>
    <cellStyle name="Moneda 4 2" xfId="18"/>
    <cellStyle name="Moneda 5" xfId="14"/>
    <cellStyle name="Moneda 5 2" xfId="28"/>
    <cellStyle name="Moneda 6" xfId="19"/>
    <cellStyle name="Moneda 7" xfId="26"/>
    <cellStyle name="Normal" xfId="0" builtinId="0"/>
    <cellStyle name="Normal 2" xfId="1"/>
    <cellStyle name="Normal 2 2" xfId="3"/>
    <cellStyle name="Normal 2 2 2" xfId="23"/>
    <cellStyle name="Normal 2 5" xfId="11"/>
    <cellStyle name="Normal 2 7" xfId="20"/>
    <cellStyle name="Normal 3" xfId="2"/>
    <cellStyle name="Normal 3 2" xfId="6"/>
    <cellStyle name="Normal 4" xfId="9"/>
    <cellStyle name="Normal 4 2" xfId="17"/>
    <cellStyle name="Normal 4 3" xfId="21"/>
    <cellStyle name="Normal 5" xfId="30"/>
    <cellStyle name="Normal 6" xfId="29"/>
    <cellStyle name="normal_CIER2001_1" xfId="35"/>
    <cellStyle name="Porcentaje" xfId="33" builtinId="5"/>
    <cellStyle name="Porcentaje 2" xfId="5"/>
    <cellStyle name="Porcentaje 2 2" xfId="8"/>
    <cellStyle name="Porcentaje 3" xfId="15"/>
    <cellStyle name="Porcentaje 4" xfId="25"/>
    <cellStyle name="Porcentaje 5" xfId="12"/>
    <cellStyle name="Porcentaje 6" xfId="22"/>
  </cellStyles>
  <dxfs count="0"/>
  <tableStyles count="0" defaultTableStyle="TableStyleMedium2" defaultPivotStyle="PivotStyleMedium9"/>
  <colors>
    <mruColors>
      <color rgb="FF548DD4"/>
      <color rgb="FF969696"/>
      <color rgb="FF3176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1809750</xdr:colOff>
      <xdr:row>93</xdr:row>
      <xdr:rowOff>104775</xdr:rowOff>
    </xdr:from>
    <xdr:ext cx="1552575" cy="1724025"/>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821275"/>
          <a:ext cx="1552575"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123825</xdr:rowOff>
    </xdr:from>
    <xdr:to>
      <xdr:col>0</xdr:col>
      <xdr:colOff>3419475</xdr:colOff>
      <xdr:row>5</xdr:row>
      <xdr:rowOff>180975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34194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Documents\Roman%20Gauna\Planilla%204%20Recursos%20Propios\PL%204-%201er%20semestre%202022\2.-%20Segundo%20env&#237;o\RECURSOS%20PROPIOS%20AL%2030-06-2022%20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esktop\Documents\Roman%20Gauna\Planilla%204%20Recursos%20Propios\PL%204-%201er%20semestre%202022\2.-%20Segundo%20env&#237;o\CAJA\2022-06\RECURSOS%20PROPIOS%20CJYPMU%20AL%2030-06-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esktop\Documents\Roman%20Gauna\Planilla%204%20Recursos%20Propios\PL%204-%201er%20semestre%202022\2.-%20Segundo%20env&#237;o\EPPE\06-2022\RECURSOS%20PROPIOS%20EPPE%20AL%2030-06-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esktop\Documents\Roman%20Gauna\Planilla%204%20Recursos%20Propios\PL%204-%201er%20semestre%202022\1.-%20Primer%20env&#237;o\Planilla%20recursos%20propios%20municipales%20%20-%20Ejecutado%20al%2030-06%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6">
          <cell r="E6">
            <v>23550246.399999999</v>
          </cell>
        </row>
        <row r="7">
          <cell r="E7">
            <v>4598028.17</v>
          </cell>
        </row>
        <row r="8">
          <cell r="E8">
            <v>37257413.039999999</v>
          </cell>
        </row>
        <row r="9">
          <cell r="E9">
            <v>2101326.66</v>
          </cell>
        </row>
        <row r="10">
          <cell r="E10">
            <v>165693.09</v>
          </cell>
        </row>
        <row r="11">
          <cell r="E11">
            <v>5716.65</v>
          </cell>
        </row>
        <row r="12">
          <cell r="E12">
            <v>846403.16</v>
          </cell>
        </row>
        <row r="13">
          <cell r="E13">
            <v>200552.98</v>
          </cell>
        </row>
        <row r="14">
          <cell r="E14">
            <v>6550</v>
          </cell>
        </row>
        <row r="15">
          <cell r="E15">
            <v>1439435</v>
          </cell>
        </row>
        <row r="16">
          <cell r="E16">
            <v>13667372.92</v>
          </cell>
        </row>
        <row r="17">
          <cell r="E17">
            <v>1688948.59</v>
          </cell>
        </row>
        <row r="18">
          <cell r="E18">
            <v>0</v>
          </cell>
        </row>
        <row r="19">
          <cell r="E19">
            <v>0</v>
          </cell>
        </row>
        <row r="20">
          <cell r="E20">
            <v>7276463.6200000001</v>
          </cell>
        </row>
        <row r="21">
          <cell r="E21">
            <v>64325.78</v>
          </cell>
        </row>
        <row r="22">
          <cell r="E22">
            <v>970397.93</v>
          </cell>
        </row>
        <row r="23">
          <cell r="E23">
            <v>33150</v>
          </cell>
        </row>
        <row r="24">
          <cell r="E24">
            <v>202635</v>
          </cell>
        </row>
        <row r="25">
          <cell r="E25">
            <v>72062.42</v>
          </cell>
        </row>
        <row r="26">
          <cell r="E26">
            <v>905376.25</v>
          </cell>
        </row>
        <row r="27">
          <cell r="E27">
            <v>9300</v>
          </cell>
        </row>
        <row r="28">
          <cell r="E28">
            <v>0</v>
          </cell>
        </row>
        <row r="29">
          <cell r="E29">
            <v>90744.5</v>
          </cell>
        </row>
        <row r="30">
          <cell r="E30">
            <v>2872290.4</v>
          </cell>
        </row>
        <row r="31">
          <cell r="E31">
            <v>305211.7</v>
          </cell>
        </row>
        <row r="32">
          <cell r="E32">
            <v>0</v>
          </cell>
        </row>
        <row r="33">
          <cell r="E33">
            <v>15087.42</v>
          </cell>
        </row>
        <row r="34">
          <cell r="E34">
            <v>7796980.2699999996</v>
          </cell>
        </row>
        <row r="35">
          <cell r="E35">
            <v>0</v>
          </cell>
        </row>
        <row r="36">
          <cell r="E36">
            <v>58800</v>
          </cell>
        </row>
        <row r="37">
          <cell r="E37">
            <v>11929019.77</v>
          </cell>
        </row>
        <row r="38">
          <cell r="E38">
            <v>2432140.7799999998</v>
          </cell>
        </row>
        <row r="39">
          <cell r="E39">
            <v>338413.43</v>
          </cell>
        </row>
        <row r="40">
          <cell r="E40">
            <v>2910336.43</v>
          </cell>
        </row>
        <row r="41">
          <cell r="E41">
            <v>7488291.6600000001</v>
          </cell>
        </row>
        <row r="42">
          <cell r="E42">
            <v>55545.89</v>
          </cell>
        </row>
        <row r="43">
          <cell r="E43">
            <v>408565.83</v>
          </cell>
        </row>
        <row r="44">
          <cell r="E44">
            <v>1189152.6000000001</v>
          </cell>
        </row>
        <row r="45">
          <cell r="E45">
            <v>170832.72</v>
          </cell>
        </row>
        <row r="46">
          <cell r="E46">
            <v>916463.07</v>
          </cell>
        </row>
        <row r="47">
          <cell r="E47">
            <v>361020</v>
          </cell>
        </row>
        <row r="48">
          <cell r="E48">
            <v>582253.89</v>
          </cell>
        </row>
        <row r="49">
          <cell r="E49">
            <v>0</v>
          </cell>
        </row>
        <row r="50">
          <cell r="E50">
            <v>76519</v>
          </cell>
        </row>
        <row r="51">
          <cell r="E51">
            <v>570000</v>
          </cell>
        </row>
        <row r="52">
          <cell r="E52">
            <v>118.67</v>
          </cell>
        </row>
        <row r="53">
          <cell r="E53">
            <v>1657968.74</v>
          </cell>
        </row>
        <row r="54">
          <cell r="E54">
            <v>112450.57</v>
          </cell>
        </row>
        <row r="55">
          <cell r="E55">
            <v>223458</v>
          </cell>
        </row>
        <row r="56">
          <cell r="E56">
            <v>695330</v>
          </cell>
        </row>
        <row r="58">
          <cell r="E58">
            <v>6599424.5700000003</v>
          </cell>
        </row>
        <row r="75">
          <cell r="E75">
            <v>446872.85</v>
          </cell>
        </row>
        <row r="76">
          <cell r="E76">
            <v>312320.45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J4">
            <v>26394766.399999995</v>
          </cell>
        </row>
        <row r="21">
          <cell r="J21">
            <v>128347.32</v>
          </cell>
        </row>
        <row r="22">
          <cell r="J22">
            <v>1000</v>
          </cell>
        </row>
        <row r="24">
          <cell r="J24">
            <v>88208.36</v>
          </cell>
        </row>
        <row r="26">
          <cell r="J26">
            <v>150000</v>
          </cell>
        </row>
        <row r="27">
          <cell r="J27">
            <v>96000</v>
          </cell>
        </row>
        <row r="28">
          <cell r="J28">
            <v>165660</v>
          </cell>
        </row>
        <row r="29">
          <cell r="J29">
            <v>579000</v>
          </cell>
        </row>
        <row r="30">
          <cell r="J30">
            <v>1105</v>
          </cell>
        </row>
        <row r="32">
          <cell r="J32">
            <v>12014568.91</v>
          </cell>
        </row>
        <row r="38">
          <cell r="J38">
            <v>0</v>
          </cell>
        </row>
        <row r="42">
          <cell r="J42">
            <v>2755446</v>
          </cell>
        </row>
        <row r="50">
          <cell r="J50">
            <v>3472250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E6">
            <v>2033788.54</v>
          </cell>
        </row>
        <row r="7">
          <cell r="E7">
            <v>114052.16</v>
          </cell>
        </row>
        <row r="8">
          <cell r="E8">
            <v>90968.61</v>
          </cell>
        </row>
        <row r="9">
          <cell r="E9">
            <v>3963.61</v>
          </cell>
        </row>
        <row r="10">
          <cell r="E10">
            <v>0</v>
          </cell>
        </row>
        <row r="11">
          <cell r="E11">
            <v>73096.2</v>
          </cell>
        </row>
        <row r="12">
          <cell r="E12">
            <v>12410.83</v>
          </cell>
        </row>
        <row r="13">
          <cell r="E13">
            <v>0</v>
          </cell>
        </row>
        <row r="15">
          <cell r="E15">
            <v>349358.87</v>
          </cell>
        </row>
        <row r="25">
          <cell r="E25">
            <v>302744.74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Recursos Propios de los Mun."/>
      <sheetName val="HT"/>
      <sheetName val="4 Rec. Prop. 31-12-21 EJECUTADO"/>
    </sheetNames>
    <sheetDataSet>
      <sheetData sheetId="0"/>
      <sheetData sheetId="1">
        <row r="3">
          <cell r="C3">
            <v>1417270.83</v>
          </cell>
        </row>
        <row r="4">
          <cell r="C4">
            <v>694892.85</v>
          </cell>
        </row>
        <row r="5">
          <cell r="C5">
            <v>883390.99</v>
          </cell>
        </row>
        <row r="7">
          <cell r="C7">
            <v>122842.03</v>
          </cell>
        </row>
        <row r="8">
          <cell r="C8">
            <v>11950</v>
          </cell>
        </row>
        <row r="9">
          <cell r="C9">
            <v>13034</v>
          </cell>
        </row>
        <row r="10">
          <cell r="C10">
            <v>131480.31</v>
          </cell>
        </row>
        <row r="11">
          <cell r="C11">
            <v>141199.78</v>
          </cell>
        </row>
        <row r="12">
          <cell r="C12">
            <v>95635.48</v>
          </cell>
        </row>
        <row r="13">
          <cell r="C13">
            <v>176358</v>
          </cell>
        </row>
        <row r="14">
          <cell r="C14">
            <v>1062429.1399999999</v>
          </cell>
        </row>
        <row r="16">
          <cell r="C16">
            <v>117208.4</v>
          </cell>
        </row>
        <row r="17">
          <cell r="C17">
            <v>570253.22</v>
          </cell>
        </row>
        <row r="21">
          <cell r="C21">
            <v>525628.12</v>
          </cell>
        </row>
        <row r="23">
          <cell r="C23">
            <v>190000</v>
          </cell>
        </row>
        <row r="24">
          <cell r="C24">
            <v>13812.85</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rgb="FFFF0000"/>
  </sheetPr>
  <dimension ref="A1:N110"/>
  <sheetViews>
    <sheetView showGridLines="0" tabSelected="1" zoomScale="80" zoomScaleNormal="80" workbookViewId="0">
      <selection activeCell="M108" sqref="M108"/>
    </sheetView>
  </sheetViews>
  <sheetFormatPr baseColWidth="10" defaultColWidth="9.140625" defaultRowHeight="15"/>
  <cols>
    <col min="4" max="4" width="36.42578125" customWidth="1"/>
    <col min="5" max="5" width="21.140625" customWidth="1"/>
    <col min="6" max="6" width="20" customWidth="1"/>
    <col min="7" max="8" width="19.28515625" customWidth="1"/>
  </cols>
  <sheetData>
    <row r="1" spans="1:14" ht="50.25" customHeight="1">
      <c r="B1" s="31" t="s">
        <v>0</v>
      </c>
      <c r="C1" s="32"/>
      <c r="D1" s="32"/>
      <c r="E1" s="32"/>
      <c r="F1" s="32"/>
      <c r="G1" s="32"/>
      <c r="H1" s="32"/>
      <c r="I1" s="32"/>
      <c r="J1" s="32"/>
      <c r="K1" s="32"/>
      <c r="L1" s="32"/>
      <c r="M1" s="32"/>
      <c r="N1" s="32"/>
    </row>
    <row r="2" spans="1:14" ht="26.25">
      <c r="A2" s="1"/>
      <c r="B2" s="1370" t="s">
        <v>102</v>
      </c>
      <c r="C2" s="1371"/>
      <c r="D2" s="1371"/>
      <c r="E2" s="1371"/>
      <c r="F2" s="1371"/>
      <c r="G2" s="1371"/>
      <c r="H2" s="1371"/>
      <c r="I2" s="1371"/>
      <c r="J2" s="1371"/>
      <c r="K2" s="1371"/>
      <c r="L2" s="1371"/>
      <c r="M2" s="1371"/>
      <c r="N2" s="2"/>
    </row>
    <row r="3" spans="1:14" ht="24">
      <c r="A3" s="1"/>
      <c r="B3" s="2"/>
      <c r="C3" s="2"/>
      <c r="D3" s="3"/>
      <c r="E3" s="3"/>
      <c r="F3" s="3"/>
      <c r="G3" s="3"/>
      <c r="H3" s="4"/>
      <c r="I3" s="3"/>
      <c r="J3" s="3"/>
      <c r="K3" s="3"/>
      <c r="L3" s="2"/>
      <c r="M3" s="2"/>
      <c r="N3" s="2"/>
    </row>
    <row r="4" spans="1:14" ht="28.5">
      <c r="A4" s="1"/>
      <c r="B4" s="2"/>
      <c r="C4" s="2"/>
      <c r="D4" s="29" t="s">
        <v>1</v>
      </c>
      <c r="E4" s="29"/>
      <c r="F4" s="5"/>
      <c r="G4" s="5"/>
      <c r="H4" s="30">
        <f>COUNTIF(E15:E97,"Si")</f>
        <v>43</v>
      </c>
      <c r="I4" s="33"/>
      <c r="L4" s="2"/>
      <c r="M4" s="2"/>
      <c r="N4" s="2"/>
    </row>
    <row r="5" spans="1:14" ht="18.75">
      <c r="A5" s="1"/>
      <c r="B5" s="2"/>
      <c r="C5" s="2"/>
      <c r="D5" s="1372" t="s">
        <v>2</v>
      </c>
      <c r="E5" s="1373"/>
      <c r="F5" s="7"/>
      <c r="G5" s="7"/>
      <c r="H5" s="1514">
        <v>44825</v>
      </c>
      <c r="I5" s="37"/>
      <c r="L5" s="2"/>
      <c r="M5" s="2"/>
      <c r="N5" s="2"/>
    </row>
    <row r="6" spans="1:14" ht="18.75">
      <c r="A6" s="1"/>
      <c r="B6" s="2"/>
      <c r="C6" s="2"/>
      <c r="D6" s="25"/>
      <c r="E6" s="24"/>
      <c r="F6" s="7"/>
      <c r="G6" s="7"/>
      <c r="H6" s="1515" t="s">
        <v>107</v>
      </c>
      <c r="I6" s="1"/>
      <c r="J6" s="26"/>
      <c r="K6" s="24"/>
      <c r="L6" s="2"/>
      <c r="M6" s="2"/>
      <c r="N6" s="2"/>
    </row>
    <row r="7" spans="1:14" ht="17.25">
      <c r="A7" s="1"/>
      <c r="B7" s="2"/>
      <c r="C7" s="2"/>
      <c r="D7" s="28" t="s">
        <v>99</v>
      </c>
      <c r="E7" s="2"/>
      <c r="F7" s="1"/>
      <c r="G7" s="2"/>
      <c r="H7" s="10"/>
      <c r="I7" s="9"/>
      <c r="J7" s="11"/>
      <c r="K7" s="2"/>
      <c r="L7" s="2"/>
      <c r="M7" s="2"/>
      <c r="N7" s="2"/>
    </row>
    <row r="8" spans="1:14" ht="17.25">
      <c r="A8" s="1"/>
      <c r="B8" s="2"/>
      <c r="C8" s="2"/>
      <c r="D8" s="2" t="s">
        <v>3</v>
      </c>
      <c r="E8" s="2"/>
      <c r="F8" s="1"/>
      <c r="G8" s="2"/>
      <c r="H8" s="10"/>
      <c r="I8" s="9"/>
      <c r="J8" s="12"/>
      <c r="K8" s="8"/>
      <c r="L8" s="2"/>
      <c r="M8" s="2"/>
      <c r="N8" s="2"/>
    </row>
    <row r="9" spans="1:14" ht="17.25">
      <c r="A9" s="1"/>
      <c r="B9" s="2"/>
      <c r="C9" s="2"/>
      <c r="D9" s="2" t="s">
        <v>4</v>
      </c>
      <c r="E9" s="2"/>
      <c r="F9" s="1"/>
      <c r="G9" s="2"/>
      <c r="H9" s="10"/>
      <c r="I9" s="9"/>
      <c r="J9" s="12"/>
      <c r="K9" s="8"/>
      <c r="L9" s="2"/>
      <c r="M9" s="13"/>
      <c r="N9" s="2"/>
    </row>
    <row r="10" spans="1:14" ht="17.25">
      <c r="A10" s="1"/>
      <c r="B10" s="1"/>
      <c r="C10" s="1"/>
      <c r="D10" s="2" t="s">
        <v>5</v>
      </c>
      <c r="E10" s="1"/>
      <c r="F10" s="1"/>
      <c r="G10" s="2"/>
      <c r="H10" s="10"/>
      <c r="I10" s="9"/>
      <c r="J10" s="8"/>
      <c r="K10" s="8"/>
      <c r="L10" s="1"/>
      <c r="M10" s="1"/>
      <c r="N10" s="1"/>
    </row>
    <row r="11" spans="1:14" ht="17.25">
      <c r="A11" s="1"/>
      <c r="B11" s="1"/>
      <c r="C11" s="1"/>
      <c r="D11" s="2" t="s">
        <v>6</v>
      </c>
      <c r="E11" s="1"/>
      <c r="F11" s="1"/>
      <c r="G11" s="2"/>
      <c r="H11" s="10"/>
      <c r="I11" s="9"/>
      <c r="J11" s="8"/>
      <c r="K11" s="8"/>
      <c r="L11" s="1"/>
      <c r="M11" s="1"/>
      <c r="N11" s="1"/>
    </row>
    <row r="12" spans="1:14" ht="25.5" customHeight="1">
      <c r="A12" s="1"/>
      <c r="B12" s="1"/>
      <c r="C12" s="1"/>
      <c r="D12" s="1"/>
      <c r="E12" s="1"/>
      <c r="F12" s="8"/>
      <c r="G12" s="8"/>
      <c r="H12" s="15"/>
      <c r="I12" s="8"/>
      <c r="J12" s="8"/>
      <c r="K12" s="8"/>
      <c r="L12" s="1"/>
      <c r="M12" s="1"/>
      <c r="N12" s="1"/>
    </row>
    <row r="13" spans="1:14" ht="17.25">
      <c r="A13" s="1"/>
      <c r="B13" s="1"/>
      <c r="C13" s="1"/>
      <c r="D13" s="16" t="s">
        <v>7</v>
      </c>
      <c r="E13" s="17"/>
      <c r="F13" s="17"/>
      <c r="G13" s="21"/>
      <c r="H13" s="22"/>
      <c r="I13" s="1"/>
      <c r="J13" s="1"/>
      <c r="K13" s="1"/>
      <c r="L13" s="1"/>
      <c r="M13" s="1"/>
      <c r="N13" s="1"/>
    </row>
    <row r="14" spans="1:14" ht="41.25" customHeight="1">
      <c r="A14" s="1"/>
      <c r="B14" s="1"/>
      <c r="C14" s="1"/>
      <c r="D14" s="38" t="s">
        <v>8</v>
      </c>
      <c r="E14" s="23" t="s">
        <v>105</v>
      </c>
      <c r="F14" s="23" t="s">
        <v>103</v>
      </c>
      <c r="G14" s="1"/>
      <c r="H14" s="1"/>
      <c r="I14" s="1"/>
      <c r="J14" s="1"/>
      <c r="K14" s="1"/>
      <c r="L14" s="1"/>
      <c r="M14" s="1"/>
      <c r="N14" s="1"/>
    </row>
    <row r="15" spans="1:14" ht="16.5">
      <c r="A15" s="1"/>
      <c r="B15" s="1"/>
      <c r="C15" s="1"/>
      <c r="D15" s="39" t="s">
        <v>9</v>
      </c>
      <c r="E15" s="1516"/>
      <c r="F15" s="1517"/>
      <c r="G15" s="1"/>
      <c r="H15" s="1"/>
      <c r="I15" s="1"/>
      <c r="J15" s="1"/>
      <c r="K15" s="1"/>
      <c r="L15" s="1"/>
      <c r="M15" s="1"/>
      <c r="N15" s="1"/>
    </row>
    <row r="16" spans="1:14" ht="16.5">
      <c r="A16" s="1"/>
      <c r="B16" s="1"/>
      <c r="C16" s="1"/>
      <c r="D16" s="39" t="s">
        <v>10</v>
      </c>
      <c r="E16" s="1516"/>
      <c r="F16" s="1517"/>
      <c r="G16" s="1"/>
      <c r="H16" s="1"/>
      <c r="I16" s="1"/>
      <c r="J16" s="1"/>
      <c r="K16" s="1"/>
      <c r="L16" s="1"/>
      <c r="M16" s="1"/>
      <c r="N16" s="1"/>
    </row>
    <row r="17" spans="1:14" ht="16.5">
      <c r="A17" s="1"/>
      <c r="B17" s="1"/>
      <c r="C17" s="1"/>
      <c r="D17" s="39" t="s">
        <v>11</v>
      </c>
      <c r="E17" s="1516"/>
      <c r="F17" s="1517"/>
      <c r="G17" s="1"/>
      <c r="H17" s="1"/>
      <c r="I17" s="18"/>
      <c r="J17" s="1"/>
      <c r="K17" s="1"/>
      <c r="L17" s="1"/>
      <c r="M17" s="1"/>
      <c r="N17" s="1"/>
    </row>
    <row r="18" spans="1:14" ht="16.5">
      <c r="A18" s="1"/>
      <c r="B18" s="1"/>
      <c r="C18" s="1"/>
      <c r="D18" s="39" t="s">
        <v>12</v>
      </c>
      <c r="E18" s="1516"/>
      <c r="F18" s="1517"/>
      <c r="G18" s="18"/>
      <c r="H18" s="1"/>
      <c r="I18" s="1"/>
      <c r="J18" s="1"/>
      <c r="K18" s="1"/>
      <c r="L18" s="1"/>
      <c r="M18" s="1"/>
      <c r="N18" s="1"/>
    </row>
    <row r="19" spans="1:14" ht="16.5">
      <c r="A19" s="1"/>
      <c r="B19" s="1"/>
      <c r="C19" s="1"/>
      <c r="D19" s="39" t="s">
        <v>13</v>
      </c>
      <c r="E19" s="1518" t="s">
        <v>101</v>
      </c>
      <c r="F19" s="1517">
        <v>44817</v>
      </c>
      <c r="G19" s="1"/>
      <c r="H19" s="1"/>
      <c r="I19" s="1"/>
      <c r="J19" s="1"/>
      <c r="K19" s="1"/>
      <c r="L19" s="1"/>
      <c r="M19" s="1"/>
      <c r="N19" s="1"/>
    </row>
    <row r="20" spans="1:14" ht="16.5">
      <c r="A20" s="1"/>
      <c r="B20" s="1"/>
      <c r="C20" s="1"/>
      <c r="D20" s="39" t="s">
        <v>14</v>
      </c>
      <c r="E20" s="1516"/>
      <c r="F20" s="1519"/>
      <c r="G20" s="1"/>
      <c r="H20" s="1"/>
      <c r="I20" s="1"/>
      <c r="J20" s="1"/>
      <c r="K20" s="1"/>
      <c r="L20" s="1"/>
      <c r="M20" s="1"/>
      <c r="N20" s="1"/>
    </row>
    <row r="21" spans="1:14" ht="16.5">
      <c r="A21" s="1"/>
      <c r="B21" s="1"/>
      <c r="C21" s="1"/>
      <c r="D21" s="39" t="s">
        <v>15</v>
      </c>
      <c r="E21" s="1518" t="s">
        <v>101</v>
      </c>
      <c r="F21" s="1517">
        <v>44834</v>
      </c>
      <c r="G21" s="1"/>
      <c r="H21" s="1"/>
      <c r="I21" s="1"/>
      <c r="J21" s="1"/>
      <c r="K21" s="1"/>
      <c r="L21" s="1"/>
      <c r="M21" s="1"/>
      <c r="N21" s="1"/>
    </row>
    <row r="22" spans="1:14" ht="16.5">
      <c r="A22" s="1"/>
      <c r="B22" s="1"/>
      <c r="C22" s="1"/>
      <c r="D22" s="39" t="s">
        <v>16</v>
      </c>
      <c r="E22" s="1518"/>
      <c r="F22" s="1517"/>
      <c r="G22" s="1"/>
      <c r="H22" s="1"/>
      <c r="I22" s="1"/>
      <c r="J22" s="1"/>
      <c r="K22" s="1"/>
      <c r="L22" s="1"/>
      <c r="M22" s="1"/>
      <c r="N22" s="1"/>
    </row>
    <row r="23" spans="1:14" ht="16.5">
      <c r="A23" s="1"/>
      <c r="B23" s="1"/>
      <c r="C23" s="1"/>
      <c r="D23" s="39" t="s">
        <v>17</v>
      </c>
      <c r="E23" s="1516"/>
      <c r="F23" s="1517"/>
      <c r="G23" s="1"/>
      <c r="H23" s="1"/>
      <c r="I23" s="1"/>
      <c r="J23" s="1"/>
      <c r="K23" s="1"/>
      <c r="L23" s="1"/>
      <c r="M23" s="1"/>
      <c r="N23" s="1"/>
    </row>
    <row r="24" spans="1:14" ht="16.5">
      <c r="A24" s="1"/>
      <c r="B24" s="1"/>
      <c r="C24" s="1"/>
      <c r="D24" s="39" t="s">
        <v>18</v>
      </c>
      <c r="E24" s="1516" t="s">
        <v>101</v>
      </c>
      <c r="F24" s="1517">
        <v>44831</v>
      </c>
      <c r="G24" s="1"/>
      <c r="H24" s="1"/>
      <c r="I24" s="1"/>
      <c r="J24" s="1"/>
      <c r="K24" s="1"/>
      <c r="L24" s="1"/>
      <c r="M24" s="1"/>
      <c r="N24" s="1"/>
    </row>
    <row r="25" spans="1:14" ht="16.5">
      <c r="A25" s="1"/>
      <c r="B25" s="1"/>
      <c r="C25" s="1"/>
      <c r="D25" s="39" t="s">
        <v>19</v>
      </c>
      <c r="E25" s="1518" t="s">
        <v>101</v>
      </c>
      <c r="F25" s="1517">
        <v>44816</v>
      </c>
      <c r="G25" s="1"/>
      <c r="H25" s="1"/>
      <c r="I25" s="19"/>
      <c r="J25" s="1"/>
      <c r="K25" s="1"/>
      <c r="L25" s="1"/>
      <c r="M25" s="1"/>
      <c r="N25" s="1"/>
    </row>
    <row r="26" spans="1:14" ht="16.5">
      <c r="A26" s="1"/>
      <c r="B26" s="1"/>
      <c r="C26" s="1"/>
      <c r="D26" s="39" t="s">
        <v>20</v>
      </c>
      <c r="E26" s="1516" t="s">
        <v>101</v>
      </c>
      <c r="F26" s="1517">
        <v>44817</v>
      </c>
      <c r="G26" s="19"/>
      <c r="H26" s="1"/>
      <c r="I26" s="1"/>
      <c r="J26" s="1"/>
      <c r="K26" s="1"/>
      <c r="L26" s="1"/>
      <c r="M26" s="1"/>
      <c r="N26" s="1"/>
    </row>
    <row r="27" spans="1:14" ht="16.5">
      <c r="A27" s="1"/>
      <c r="B27" s="1"/>
      <c r="C27" s="1"/>
      <c r="D27" s="39" t="s">
        <v>21</v>
      </c>
      <c r="E27" s="1516"/>
      <c r="F27" s="1519"/>
      <c r="G27" s="1"/>
      <c r="H27" s="1"/>
      <c r="I27" s="1"/>
      <c r="J27" s="1"/>
      <c r="K27" s="1"/>
      <c r="L27" s="1"/>
      <c r="M27" s="1"/>
      <c r="N27" s="1"/>
    </row>
    <row r="28" spans="1:14" ht="16.5">
      <c r="A28" s="1"/>
      <c r="B28" s="1"/>
      <c r="C28" s="1"/>
      <c r="D28" s="39" t="s">
        <v>22</v>
      </c>
      <c r="E28" s="1516" t="s">
        <v>101</v>
      </c>
      <c r="F28" s="1517">
        <v>44825</v>
      </c>
      <c r="G28" s="1"/>
      <c r="H28" s="1"/>
      <c r="I28" s="1"/>
      <c r="J28" s="1"/>
      <c r="K28" s="1"/>
      <c r="L28" s="1"/>
      <c r="M28" s="1"/>
      <c r="N28" s="1"/>
    </row>
    <row r="29" spans="1:14" ht="16.5">
      <c r="A29" s="1"/>
      <c r="B29" s="1"/>
      <c r="C29" s="1"/>
      <c r="D29" s="39" t="s">
        <v>23</v>
      </c>
      <c r="E29" s="1518" t="s">
        <v>101</v>
      </c>
      <c r="F29" s="1517">
        <v>44831</v>
      </c>
      <c r="G29" s="1"/>
      <c r="H29" s="1"/>
      <c r="I29" s="20"/>
      <c r="J29" s="1"/>
      <c r="K29" s="1"/>
      <c r="L29" s="1"/>
      <c r="M29" s="1"/>
      <c r="N29" s="1"/>
    </row>
    <row r="30" spans="1:14" ht="16.5">
      <c r="A30" s="1"/>
      <c r="B30" s="1"/>
      <c r="C30" s="1"/>
      <c r="D30" s="39" t="s">
        <v>24</v>
      </c>
      <c r="E30" s="1516" t="s">
        <v>101</v>
      </c>
      <c r="F30" s="1517">
        <v>44834</v>
      </c>
      <c r="G30" s="710"/>
      <c r="H30" s="1"/>
      <c r="I30" s="1"/>
      <c r="J30" s="1"/>
      <c r="K30" s="1"/>
      <c r="L30" s="1"/>
      <c r="M30" s="1"/>
      <c r="N30" s="1"/>
    </row>
    <row r="31" spans="1:14" ht="16.5">
      <c r="A31" s="1"/>
      <c r="B31" s="1"/>
      <c r="C31" s="1"/>
      <c r="D31" s="1366" t="s">
        <v>25</v>
      </c>
      <c r="E31" s="1516"/>
      <c r="F31" s="1517"/>
      <c r="G31" s="1"/>
      <c r="H31" s="1"/>
      <c r="I31" s="1"/>
      <c r="J31" s="1"/>
      <c r="K31" s="1"/>
      <c r="L31" s="1"/>
      <c r="M31" s="1"/>
      <c r="N31" s="1"/>
    </row>
    <row r="32" spans="1:14" ht="16.5">
      <c r="A32" s="1"/>
      <c r="B32" s="1"/>
      <c r="C32" s="1"/>
      <c r="D32" s="39" t="s">
        <v>26</v>
      </c>
      <c r="E32" s="1518"/>
      <c r="F32" s="1517"/>
      <c r="G32" s="1"/>
      <c r="H32" s="1"/>
      <c r="I32" s="1"/>
      <c r="J32" s="1"/>
      <c r="K32" s="1"/>
      <c r="L32" s="1"/>
      <c r="M32" s="1"/>
      <c r="N32" s="1"/>
    </row>
    <row r="33" spans="1:14" ht="16.5">
      <c r="A33" s="1"/>
      <c r="B33" s="1"/>
      <c r="C33" s="1"/>
      <c r="D33" s="39" t="s">
        <v>27</v>
      </c>
      <c r="E33" s="1516"/>
      <c r="F33" s="1519"/>
      <c r="G33" s="1"/>
      <c r="H33" s="1"/>
      <c r="I33" s="1"/>
      <c r="J33" s="1"/>
      <c r="K33" s="1"/>
      <c r="L33" s="1"/>
      <c r="M33" s="1"/>
      <c r="N33" s="1"/>
    </row>
    <row r="34" spans="1:14" ht="16.5">
      <c r="A34" s="1"/>
      <c r="B34" s="1"/>
      <c r="C34" s="1"/>
      <c r="D34" s="39" t="s">
        <v>28</v>
      </c>
      <c r="E34" s="1516" t="s">
        <v>101</v>
      </c>
      <c r="F34" s="1517">
        <v>44785</v>
      </c>
      <c r="G34" s="1"/>
      <c r="H34" s="1"/>
      <c r="I34" s="1"/>
      <c r="J34" s="1"/>
      <c r="K34" s="1"/>
      <c r="L34" s="1"/>
      <c r="M34" s="1"/>
      <c r="N34" s="1"/>
    </row>
    <row r="35" spans="1:14" ht="16.5">
      <c r="A35" s="1"/>
      <c r="B35" s="1"/>
      <c r="C35" s="1"/>
      <c r="D35" s="39" t="s">
        <v>29</v>
      </c>
      <c r="E35" s="1516"/>
      <c r="F35" s="1517"/>
      <c r="G35" s="1"/>
      <c r="H35" s="1"/>
      <c r="I35" s="1"/>
      <c r="J35" s="1"/>
      <c r="K35" s="1"/>
      <c r="L35" s="1"/>
      <c r="M35" s="1"/>
      <c r="N35" s="1"/>
    </row>
    <row r="36" spans="1:14" ht="16.5">
      <c r="A36" s="1"/>
      <c r="B36" s="1"/>
      <c r="C36" s="1"/>
      <c r="D36" s="39" t="s">
        <v>30</v>
      </c>
      <c r="E36" s="1516"/>
      <c r="F36" s="1519"/>
      <c r="G36" s="1"/>
      <c r="H36" s="1"/>
      <c r="I36" s="1"/>
      <c r="J36" s="1"/>
      <c r="K36" s="1"/>
      <c r="L36" s="1"/>
      <c r="M36" s="1"/>
      <c r="N36" s="1"/>
    </row>
    <row r="37" spans="1:14" ht="16.5">
      <c r="A37" s="1"/>
      <c r="B37" s="1"/>
      <c r="C37" s="1"/>
      <c r="D37" s="39" t="s">
        <v>31</v>
      </c>
      <c r="E37" s="1518" t="s">
        <v>101</v>
      </c>
      <c r="F37" s="1517">
        <v>44789</v>
      </c>
      <c r="G37" s="1"/>
      <c r="H37" s="1"/>
      <c r="I37" s="19"/>
      <c r="J37" s="1"/>
      <c r="K37" s="1"/>
      <c r="L37" s="1"/>
      <c r="M37" s="1"/>
      <c r="N37" s="1"/>
    </row>
    <row r="38" spans="1:14" ht="16.5">
      <c r="A38" s="1"/>
      <c r="B38" s="1"/>
      <c r="C38" s="1"/>
      <c r="D38" s="39" t="s">
        <v>32</v>
      </c>
      <c r="E38" s="1516"/>
      <c r="F38" s="1517"/>
      <c r="G38" s="19"/>
      <c r="H38" s="1"/>
      <c r="I38" s="1"/>
      <c r="J38" s="1"/>
      <c r="K38" s="1"/>
      <c r="L38" s="1"/>
      <c r="M38" s="1"/>
      <c r="N38" s="1"/>
    </row>
    <row r="39" spans="1:14" ht="16.5">
      <c r="A39" s="1"/>
      <c r="B39" s="1"/>
      <c r="C39" s="1"/>
      <c r="D39" s="39" t="s">
        <v>33</v>
      </c>
      <c r="E39" s="1516" t="s">
        <v>101</v>
      </c>
      <c r="F39" s="1517">
        <v>44834</v>
      </c>
      <c r="G39" s="1"/>
      <c r="H39" s="1"/>
      <c r="I39" s="1"/>
      <c r="J39" s="1"/>
      <c r="K39" s="1"/>
      <c r="L39" s="1"/>
      <c r="M39" s="1"/>
      <c r="N39" s="1"/>
    </row>
    <row r="40" spans="1:14" ht="16.5">
      <c r="A40" s="1"/>
      <c r="B40" s="1"/>
      <c r="C40" s="1"/>
      <c r="D40" s="39" t="s">
        <v>34</v>
      </c>
      <c r="E40" s="1516" t="s">
        <v>101</v>
      </c>
      <c r="F40" s="1517">
        <v>44770</v>
      </c>
      <c r="G40" s="1"/>
      <c r="H40" s="1"/>
      <c r="I40" s="1"/>
      <c r="J40" s="1"/>
      <c r="K40" s="1"/>
      <c r="L40" s="1"/>
      <c r="M40" s="1"/>
      <c r="N40" s="1"/>
    </row>
    <row r="41" spans="1:14" ht="16.5">
      <c r="A41" s="1"/>
      <c r="B41" s="1"/>
      <c r="C41" s="1"/>
      <c r="D41" s="39" t="s">
        <v>35</v>
      </c>
      <c r="E41" s="1518"/>
      <c r="F41" s="1517"/>
      <c r="G41" s="1"/>
      <c r="H41" s="1"/>
      <c r="I41" s="19"/>
      <c r="J41" s="1"/>
      <c r="K41" s="1"/>
      <c r="L41" s="1"/>
      <c r="M41" s="1"/>
      <c r="N41" s="1"/>
    </row>
    <row r="42" spans="1:14" ht="16.5">
      <c r="A42" s="1"/>
      <c r="B42" s="1"/>
      <c r="C42" s="1"/>
      <c r="D42" s="39" t="s">
        <v>36</v>
      </c>
      <c r="E42" s="1520"/>
      <c r="F42" s="1517"/>
      <c r="G42" s="19"/>
      <c r="H42" s="1"/>
      <c r="I42" s="1"/>
      <c r="J42" s="1"/>
      <c r="K42" s="1"/>
      <c r="L42" s="1"/>
      <c r="M42" s="1"/>
      <c r="N42" s="1"/>
    </row>
    <row r="43" spans="1:14" ht="16.5">
      <c r="A43" s="1"/>
      <c r="B43" s="1"/>
      <c r="C43" s="1"/>
      <c r="D43" s="39" t="s">
        <v>37</v>
      </c>
      <c r="E43" s="1518" t="s">
        <v>101</v>
      </c>
      <c r="F43" s="1517">
        <v>44825</v>
      </c>
      <c r="G43" s="1"/>
      <c r="H43" s="1"/>
      <c r="I43" s="1"/>
      <c r="J43" s="1"/>
      <c r="K43" s="1"/>
      <c r="L43" s="1"/>
      <c r="M43" s="1"/>
      <c r="N43" s="1"/>
    </row>
    <row r="44" spans="1:14" ht="16.5">
      <c r="A44" s="1"/>
      <c r="B44" s="1"/>
      <c r="C44" s="1"/>
      <c r="D44" s="1366" t="s">
        <v>38</v>
      </c>
      <c r="E44" s="1518"/>
      <c r="F44" s="1517"/>
      <c r="G44" s="1"/>
      <c r="H44" s="1"/>
      <c r="I44" s="1"/>
      <c r="J44" s="1"/>
      <c r="K44" s="1"/>
      <c r="L44" s="1"/>
      <c r="M44" s="1"/>
      <c r="N44" s="1"/>
    </row>
    <row r="45" spans="1:14" ht="16.5">
      <c r="A45" s="1"/>
      <c r="B45" s="1"/>
      <c r="C45" s="1"/>
      <c r="D45" s="39" t="s">
        <v>39</v>
      </c>
      <c r="E45" s="1516"/>
      <c r="F45" s="1519"/>
      <c r="G45" s="1"/>
      <c r="H45" s="1"/>
      <c r="I45" s="1"/>
      <c r="J45" s="1"/>
      <c r="K45" s="1"/>
      <c r="L45" s="1"/>
      <c r="M45" s="1"/>
      <c r="N45" s="1"/>
    </row>
    <row r="46" spans="1:14" ht="16.5">
      <c r="A46" s="1"/>
      <c r="B46" s="1"/>
      <c r="C46" s="1"/>
      <c r="D46" s="39" t="s">
        <v>40</v>
      </c>
      <c r="E46" s="1516"/>
      <c r="F46" s="1517"/>
      <c r="G46" s="1"/>
      <c r="H46" s="1"/>
      <c r="I46" s="1"/>
      <c r="J46" s="1"/>
      <c r="K46" s="1"/>
      <c r="L46" s="1"/>
      <c r="M46" s="1"/>
      <c r="N46" s="1"/>
    </row>
    <row r="47" spans="1:14" ht="16.5">
      <c r="A47" s="1"/>
      <c r="B47" s="1"/>
      <c r="C47" s="1"/>
      <c r="D47" s="39" t="s">
        <v>41</v>
      </c>
      <c r="E47" s="1516" t="s">
        <v>101</v>
      </c>
      <c r="F47" s="1517">
        <v>44816</v>
      </c>
      <c r="G47" s="1"/>
      <c r="H47" s="1"/>
      <c r="I47" s="1"/>
      <c r="J47" s="1"/>
      <c r="K47" s="1"/>
      <c r="L47" s="1"/>
      <c r="M47" s="1"/>
      <c r="N47" s="1"/>
    </row>
    <row r="48" spans="1:14" ht="16.5">
      <c r="A48" s="1"/>
      <c r="B48" s="1"/>
      <c r="C48" s="1"/>
      <c r="D48" s="39" t="s">
        <v>42</v>
      </c>
      <c r="E48" s="1518" t="s">
        <v>101</v>
      </c>
      <c r="F48" s="1517">
        <v>44825</v>
      </c>
      <c r="G48" s="1"/>
      <c r="H48" s="1"/>
      <c r="I48" s="19"/>
      <c r="J48" s="1"/>
      <c r="K48" s="1"/>
      <c r="L48" s="1"/>
      <c r="M48" s="1"/>
      <c r="N48" s="1"/>
    </row>
    <row r="49" spans="1:14" ht="16.5">
      <c r="A49" s="1"/>
      <c r="B49" s="1"/>
      <c r="C49" s="1"/>
      <c r="D49" s="39" t="s">
        <v>43</v>
      </c>
      <c r="E49" s="1516"/>
      <c r="F49" s="1517"/>
      <c r="G49" s="19"/>
      <c r="H49" s="1"/>
      <c r="I49" s="1"/>
      <c r="J49" s="1"/>
      <c r="K49" s="1"/>
      <c r="L49" s="1"/>
      <c r="M49" s="1"/>
      <c r="N49" s="1"/>
    </row>
    <row r="50" spans="1:14" ht="16.5">
      <c r="A50" s="1"/>
      <c r="B50" s="1"/>
      <c r="C50" s="1"/>
      <c r="D50" s="39" t="s">
        <v>44</v>
      </c>
      <c r="E50" s="1516" t="s">
        <v>101</v>
      </c>
      <c r="F50" s="1517">
        <v>44834</v>
      </c>
      <c r="G50" s="1"/>
      <c r="H50" s="1"/>
      <c r="I50" s="1"/>
      <c r="J50" s="1"/>
      <c r="K50" s="1"/>
      <c r="L50" s="1"/>
      <c r="M50" s="1"/>
      <c r="N50" s="1"/>
    </row>
    <row r="51" spans="1:14" ht="16.5">
      <c r="A51" s="1"/>
      <c r="B51" s="1"/>
      <c r="C51" s="1"/>
      <c r="D51" s="39" t="s">
        <v>45</v>
      </c>
      <c r="E51" s="1516"/>
      <c r="F51" s="1517"/>
      <c r="G51" s="1"/>
      <c r="H51" s="1"/>
      <c r="I51" s="1"/>
      <c r="J51" s="1"/>
      <c r="K51" s="1"/>
      <c r="L51" s="1"/>
      <c r="M51" s="1"/>
      <c r="N51" s="1"/>
    </row>
    <row r="52" spans="1:14" ht="16.5">
      <c r="A52" s="1"/>
      <c r="B52" s="1"/>
      <c r="C52" s="1"/>
      <c r="D52" s="39" t="s">
        <v>46</v>
      </c>
      <c r="E52" s="1516" t="s">
        <v>101</v>
      </c>
      <c r="F52" s="1517">
        <v>44816</v>
      </c>
      <c r="G52" s="1"/>
      <c r="H52" s="1"/>
      <c r="I52" s="1"/>
      <c r="J52" s="1"/>
      <c r="K52" s="1"/>
      <c r="L52" s="1"/>
      <c r="M52" s="1"/>
      <c r="N52" s="1"/>
    </row>
    <row r="53" spans="1:14" ht="16.5">
      <c r="A53" s="1"/>
      <c r="B53" s="1"/>
      <c r="C53" s="1"/>
      <c r="D53" s="39" t="s">
        <v>47</v>
      </c>
      <c r="E53" s="1516"/>
      <c r="F53" s="1519"/>
      <c r="G53" s="1"/>
      <c r="H53" s="1"/>
      <c r="I53" s="1"/>
      <c r="J53" s="1"/>
      <c r="K53" s="1"/>
      <c r="L53" s="1"/>
      <c r="M53" s="1"/>
      <c r="N53" s="1"/>
    </row>
    <row r="54" spans="1:14" ht="16.5">
      <c r="A54" s="1"/>
      <c r="B54" s="1"/>
      <c r="C54" s="1"/>
      <c r="D54" s="39" t="s">
        <v>48</v>
      </c>
      <c r="E54" s="1516" t="s">
        <v>101</v>
      </c>
      <c r="F54" s="1517">
        <v>44784</v>
      </c>
      <c r="G54" s="1"/>
      <c r="H54" s="1"/>
      <c r="I54" s="1"/>
      <c r="J54" s="1"/>
      <c r="K54" s="1"/>
      <c r="L54" s="1"/>
      <c r="M54" s="1"/>
      <c r="N54" s="1"/>
    </row>
    <row r="55" spans="1:14" ht="16.5">
      <c r="A55" s="1"/>
      <c r="B55" s="1"/>
      <c r="C55" s="1"/>
      <c r="D55" s="39" t="s">
        <v>49</v>
      </c>
      <c r="E55" s="1518"/>
      <c r="F55" s="1517"/>
      <c r="G55" s="1"/>
      <c r="H55" s="1"/>
      <c r="I55" s="1"/>
      <c r="J55" s="1"/>
      <c r="K55" s="1"/>
      <c r="L55" s="1"/>
      <c r="M55" s="1"/>
      <c r="N55" s="1"/>
    </row>
    <row r="56" spans="1:14" ht="16.5">
      <c r="A56" s="1"/>
      <c r="B56" s="1"/>
      <c r="C56" s="1"/>
      <c r="D56" s="39" t="s">
        <v>50</v>
      </c>
      <c r="E56" s="1516"/>
      <c r="F56" s="1517"/>
      <c r="G56" s="1"/>
      <c r="H56" s="1"/>
      <c r="I56" s="1"/>
      <c r="J56" s="1"/>
      <c r="K56" s="1"/>
      <c r="L56" s="1"/>
      <c r="M56" s="1"/>
      <c r="N56" s="1"/>
    </row>
    <row r="57" spans="1:14" ht="16.5">
      <c r="A57" s="1"/>
      <c r="B57" s="1"/>
      <c r="C57" s="1"/>
      <c r="D57" s="39" t="s">
        <v>51</v>
      </c>
      <c r="E57" s="1516" t="s">
        <v>101</v>
      </c>
      <c r="F57" s="1517">
        <v>44831</v>
      </c>
      <c r="G57" s="1"/>
      <c r="H57" s="1"/>
      <c r="I57" s="1"/>
      <c r="J57" s="1"/>
      <c r="K57" s="1"/>
      <c r="L57" s="1"/>
      <c r="M57" s="1"/>
      <c r="N57" s="1"/>
    </row>
    <row r="58" spans="1:14" ht="16.5">
      <c r="A58" s="1"/>
      <c r="B58" s="1"/>
      <c r="C58" s="1"/>
      <c r="D58" s="39" t="s">
        <v>52</v>
      </c>
      <c r="E58" s="1516"/>
      <c r="F58" s="1517"/>
      <c r="G58" s="1"/>
      <c r="H58" s="1"/>
      <c r="I58" s="1"/>
      <c r="J58" s="1"/>
      <c r="K58" s="1"/>
      <c r="L58" s="1"/>
      <c r="M58" s="1"/>
      <c r="N58" s="1"/>
    </row>
    <row r="59" spans="1:14" ht="16.5">
      <c r="A59" s="1"/>
      <c r="B59" s="1"/>
      <c r="C59" s="1"/>
      <c r="D59" s="39" t="s">
        <v>53</v>
      </c>
      <c r="E59" s="1516"/>
      <c r="F59" s="1517"/>
      <c r="G59" s="1"/>
      <c r="H59" s="1"/>
      <c r="I59" s="1"/>
      <c r="J59" s="1"/>
      <c r="K59" s="1"/>
      <c r="L59" s="1"/>
      <c r="M59" s="1"/>
      <c r="N59" s="1"/>
    </row>
    <row r="60" spans="1:14" ht="16.5">
      <c r="A60" s="1"/>
      <c r="B60" s="1"/>
      <c r="C60" s="1"/>
      <c r="D60" s="39" t="s">
        <v>54</v>
      </c>
      <c r="E60" s="1516" t="s">
        <v>101</v>
      </c>
      <c r="F60" s="1517">
        <v>44825</v>
      </c>
      <c r="G60" s="1"/>
      <c r="H60" s="1"/>
      <c r="I60" s="1"/>
      <c r="J60" s="1"/>
      <c r="K60" s="1"/>
      <c r="L60" s="1"/>
      <c r="M60" s="1"/>
      <c r="N60" s="1"/>
    </row>
    <row r="61" spans="1:14" ht="16.5">
      <c r="A61" s="1"/>
      <c r="B61" s="1"/>
      <c r="C61" s="1"/>
      <c r="D61" s="39" t="s">
        <v>55</v>
      </c>
      <c r="E61" s="1516"/>
      <c r="F61" s="1517"/>
      <c r="G61" s="1"/>
      <c r="H61" s="1"/>
      <c r="I61" s="1"/>
      <c r="J61" s="1"/>
      <c r="K61" s="1"/>
      <c r="L61" s="1"/>
      <c r="M61" s="1"/>
      <c r="N61" s="1"/>
    </row>
    <row r="62" spans="1:14" ht="16.5">
      <c r="A62" s="1"/>
      <c r="B62" s="1"/>
      <c r="C62" s="1"/>
      <c r="D62" s="39" t="s">
        <v>56</v>
      </c>
      <c r="E62" s="1516"/>
      <c r="F62" s="1519"/>
      <c r="G62" s="1"/>
      <c r="H62" s="1"/>
      <c r="I62" s="1"/>
      <c r="J62" s="1"/>
      <c r="K62" s="1"/>
      <c r="L62" s="1"/>
      <c r="M62" s="1"/>
      <c r="N62" s="1"/>
    </row>
    <row r="63" spans="1:14" ht="16.5">
      <c r="A63" s="1"/>
      <c r="B63" s="1"/>
      <c r="C63" s="1"/>
      <c r="D63" s="39" t="s">
        <v>57</v>
      </c>
      <c r="E63" s="1516" t="s">
        <v>101</v>
      </c>
      <c r="F63" s="1517">
        <v>44825</v>
      </c>
      <c r="G63" s="1"/>
      <c r="H63" s="1"/>
      <c r="I63" s="1"/>
      <c r="J63" s="1"/>
      <c r="K63" s="1"/>
      <c r="L63" s="1"/>
      <c r="M63" s="1"/>
      <c r="N63" s="1"/>
    </row>
    <row r="64" spans="1:14" ht="16.5">
      <c r="A64" s="1"/>
      <c r="B64" s="1"/>
      <c r="C64" s="1"/>
      <c r="D64" s="39" t="s">
        <v>58</v>
      </c>
      <c r="E64" s="1516" t="s">
        <v>101</v>
      </c>
      <c r="F64" s="1517">
        <v>44816</v>
      </c>
      <c r="G64" s="1"/>
      <c r="H64" s="1"/>
      <c r="I64" s="1"/>
      <c r="J64" s="1"/>
      <c r="K64" s="1"/>
      <c r="L64" s="1"/>
      <c r="M64" s="1"/>
      <c r="N64" s="1"/>
    </row>
    <row r="65" spans="1:14" ht="16.5">
      <c r="A65" s="1"/>
      <c r="B65" s="1"/>
      <c r="C65" s="1"/>
      <c r="D65" s="39" t="s">
        <v>59</v>
      </c>
      <c r="E65" s="1516"/>
      <c r="F65" s="1519"/>
      <c r="G65" s="1"/>
      <c r="H65" s="1"/>
      <c r="I65" s="1"/>
      <c r="J65" s="1"/>
      <c r="K65" s="1"/>
      <c r="L65" s="1"/>
      <c r="M65" s="1"/>
      <c r="N65" s="1"/>
    </row>
    <row r="66" spans="1:14" ht="16.5">
      <c r="A66" s="1"/>
      <c r="B66" s="1"/>
      <c r="C66" s="1"/>
      <c r="D66" s="39" t="s">
        <v>60</v>
      </c>
      <c r="E66" s="1516"/>
      <c r="F66" s="1519"/>
      <c r="G66" s="1"/>
      <c r="H66" s="1"/>
      <c r="I66" s="1"/>
      <c r="J66" s="1"/>
      <c r="K66" s="1"/>
      <c r="L66" s="1"/>
      <c r="M66" s="1"/>
      <c r="N66" s="1"/>
    </row>
    <row r="67" spans="1:14" ht="16.5">
      <c r="A67" s="1"/>
      <c r="B67" s="1"/>
      <c r="C67" s="1"/>
      <c r="D67" s="39" t="s">
        <v>61</v>
      </c>
      <c r="E67" s="1516" t="s">
        <v>101</v>
      </c>
      <c r="F67" s="1517">
        <v>44764</v>
      </c>
      <c r="G67" s="1"/>
      <c r="H67" s="1"/>
      <c r="I67" s="1"/>
      <c r="J67" s="1"/>
      <c r="K67" s="1"/>
      <c r="L67" s="1"/>
      <c r="M67" s="1"/>
      <c r="N67" s="1"/>
    </row>
    <row r="68" spans="1:14" ht="16.5">
      <c r="A68" s="1"/>
      <c r="B68" s="1"/>
      <c r="C68" s="1"/>
      <c r="D68" s="39" t="s">
        <v>62</v>
      </c>
      <c r="E68" s="1516"/>
      <c r="F68" s="1519"/>
      <c r="G68" s="1"/>
      <c r="H68" s="1"/>
      <c r="I68" s="1"/>
      <c r="J68" s="1"/>
      <c r="K68" s="1"/>
      <c r="L68" s="1"/>
      <c r="M68" s="1"/>
      <c r="N68" s="1"/>
    </row>
    <row r="69" spans="1:14" ht="16.5">
      <c r="A69" s="1"/>
      <c r="B69" s="1"/>
      <c r="C69" s="1"/>
      <c r="D69" s="39" t="s">
        <v>63</v>
      </c>
      <c r="E69" s="1516" t="s">
        <v>101</v>
      </c>
      <c r="F69" s="1517">
        <v>44825</v>
      </c>
      <c r="G69" s="1"/>
      <c r="H69" s="1"/>
      <c r="I69" s="1"/>
      <c r="J69" s="1"/>
      <c r="K69" s="1"/>
      <c r="L69" s="1"/>
      <c r="M69" s="1"/>
      <c r="N69" s="1"/>
    </row>
    <row r="70" spans="1:14" ht="16.5">
      <c r="A70" s="1"/>
      <c r="B70" s="1"/>
      <c r="C70" s="1"/>
      <c r="D70" s="39" t="s">
        <v>64</v>
      </c>
      <c r="E70" s="1516" t="s">
        <v>101</v>
      </c>
      <c r="F70" s="1517">
        <v>44830</v>
      </c>
      <c r="G70" s="1"/>
      <c r="H70" s="1"/>
      <c r="I70" s="1"/>
      <c r="J70" s="1"/>
      <c r="K70" s="1"/>
      <c r="L70" s="1"/>
      <c r="M70" s="1"/>
      <c r="N70" s="1"/>
    </row>
    <row r="71" spans="1:14" ht="16.5">
      <c r="A71" s="1"/>
      <c r="B71" s="1"/>
      <c r="C71" s="1"/>
      <c r="D71" s="39" t="s">
        <v>65</v>
      </c>
      <c r="E71" s="1516" t="s">
        <v>101</v>
      </c>
      <c r="F71" s="1517">
        <v>44826</v>
      </c>
      <c r="G71" s="1"/>
      <c r="H71" s="1"/>
      <c r="I71" s="1"/>
      <c r="J71" s="1"/>
      <c r="K71" s="1"/>
      <c r="L71" s="1"/>
      <c r="M71" s="1"/>
      <c r="N71" s="1"/>
    </row>
    <row r="72" spans="1:14" ht="16.5">
      <c r="A72" s="1"/>
      <c r="B72" s="1"/>
      <c r="C72" s="1"/>
      <c r="D72" s="39" t="s">
        <v>66</v>
      </c>
      <c r="E72" s="1521" t="s">
        <v>101</v>
      </c>
      <c r="F72" s="1517">
        <v>44831</v>
      </c>
      <c r="G72" s="1"/>
      <c r="H72" s="1"/>
      <c r="I72" s="1"/>
      <c r="J72" s="1"/>
      <c r="K72" s="1"/>
      <c r="L72" s="1"/>
      <c r="M72" s="1"/>
      <c r="N72" s="1"/>
    </row>
    <row r="73" spans="1:14" ht="16.5">
      <c r="A73" s="1"/>
      <c r="B73" s="1"/>
      <c r="C73" s="1"/>
      <c r="D73" s="39" t="s">
        <v>67</v>
      </c>
      <c r="E73" s="1516" t="s">
        <v>101</v>
      </c>
      <c r="F73" s="1517">
        <v>44823</v>
      </c>
      <c r="G73" s="1"/>
      <c r="H73" s="1"/>
      <c r="I73" s="1"/>
      <c r="J73" s="1"/>
      <c r="K73" s="1"/>
      <c r="L73" s="1"/>
      <c r="M73" s="1"/>
      <c r="N73" s="1"/>
    </row>
    <row r="74" spans="1:14" ht="16.5">
      <c r="A74" s="1"/>
      <c r="B74" s="1"/>
      <c r="C74" s="1"/>
      <c r="D74" s="39" t="s">
        <v>68</v>
      </c>
      <c r="E74" s="1518" t="s">
        <v>101</v>
      </c>
      <c r="F74" s="1517">
        <v>44779</v>
      </c>
      <c r="G74" s="1"/>
      <c r="H74" s="1"/>
      <c r="I74" s="1"/>
      <c r="J74" s="1"/>
      <c r="K74" s="1"/>
      <c r="L74" s="1"/>
      <c r="M74" s="1"/>
      <c r="N74" s="1"/>
    </row>
    <row r="75" spans="1:14" ht="16.5">
      <c r="A75" s="1"/>
      <c r="B75" s="1"/>
      <c r="C75" s="1"/>
      <c r="D75" s="40" t="s">
        <v>69</v>
      </c>
      <c r="E75" s="1522"/>
      <c r="F75" s="1517"/>
      <c r="G75" s="1"/>
      <c r="H75" s="1"/>
      <c r="I75" s="1"/>
      <c r="J75" s="1"/>
      <c r="K75" s="1"/>
      <c r="L75" s="1"/>
      <c r="M75" s="1"/>
      <c r="N75" s="1"/>
    </row>
    <row r="76" spans="1:14" ht="16.5">
      <c r="A76" s="1"/>
      <c r="B76" s="1"/>
      <c r="C76" s="1"/>
      <c r="D76" s="39" t="s">
        <v>70</v>
      </c>
      <c r="E76" s="1516"/>
      <c r="F76" s="1517"/>
      <c r="G76" s="1"/>
      <c r="H76" s="1"/>
      <c r="I76" s="18"/>
      <c r="J76" s="1"/>
      <c r="K76" s="1"/>
      <c r="L76" s="1"/>
      <c r="M76" s="1"/>
      <c r="N76" s="1"/>
    </row>
    <row r="77" spans="1:14" ht="16.5">
      <c r="A77" s="1"/>
      <c r="B77" s="1"/>
      <c r="C77" s="1"/>
      <c r="D77" s="39" t="s">
        <v>71</v>
      </c>
      <c r="E77" s="1516" t="s">
        <v>101</v>
      </c>
      <c r="F77" s="1517">
        <v>44832</v>
      </c>
      <c r="G77" s="18"/>
      <c r="H77" s="1"/>
      <c r="I77" s="1"/>
      <c r="J77" s="1"/>
      <c r="K77" s="1"/>
      <c r="L77" s="1"/>
      <c r="M77" s="1"/>
      <c r="N77" s="1"/>
    </row>
    <row r="78" spans="1:14" ht="16.5">
      <c r="A78" s="1"/>
      <c r="B78" s="1"/>
      <c r="C78" s="1"/>
      <c r="D78" s="39" t="s">
        <v>72</v>
      </c>
      <c r="E78" s="1516"/>
      <c r="F78" s="1519"/>
      <c r="G78" s="1"/>
      <c r="H78" s="1"/>
      <c r="I78" s="1"/>
      <c r="J78" s="1"/>
      <c r="K78" s="1"/>
      <c r="L78" s="1"/>
      <c r="M78" s="1"/>
      <c r="N78" s="1"/>
    </row>
    <row r="79" spans="1:14" ht="16.5">
      <c r="A79" s="1"/>
      <c r="B79" s="1"/>
      <c r="C79" s="1"/>
      <c r="D79" s="39" t="s">
        <v>73</v>
      </c>
      <c r="E79" s="1518"/>
      <c r="F79" s="1517"/>
      <c r="G79" s="1"/>
      <c r="H79" s="1"/>
      <c r="I79" s="1"/>
      <c r="J79" s="1"/>
      <c r="K79" s="1"/>
      <c r="L79" s="1"/>
      <c r="M79" s="1"/>
      <c r="N79" s="1"/>
    </row>
    <row r="80" spans="1:14" ht="16.5">
      <c r="A80" s="1"/>
      <c r="B80" s="1"/>
      <c r="C80" s="1"/>
      <c r="D80" s="39" t="s">
        <v>74</v>
      </c>
      <c r="E80" s="1518"/>
      <c r="F80" s="1517"/>
      <c r="G80" s="1"/>
      <c r="H80" s="1"/>
      <c r="I80" s="1"/>
      <c r="J80" s="1"/>
      <c r="K80" s="1"/>
      <c r="L80" s="1"/>
      <c r="M80" s="1"/>
      <c r="N80" s="1"/>
    </row>
    <row r="81" spans="1:14" ht="16.5">
      <c r="A81" s="1"/>
      <c r="B81" s="1"/>
      <c r="C81" s="1"/>
      <c r="D81" s="39" t="s">
        <v>75</v>
      </c>
      <c r="E81" s="1516"/>
      <c r="F81" s="1519"/>
      <c r="G81" s="1"/>
      <c r="H81" s="1"/>
      <c r="I81" s="1"/>
      <c r="J81" s="1"/>
      <c r="K81" s="1"/>
      <c r="L81" s="1"/>
      <c r="M81" s="1"/>
      <c r="N81" s="1"/>
    </row>
    <row r="82" spans="1:14" ht="16.5">
      <c r="A82" s="1"/>
      <c r="B82" s="1"/>
      <c r="C82" s="1"/>
      <c r="D82" s="39" t="s">
        <v>76</v>
      </c>
      <c r="E82" s="1516" t="s">
        <v>101</v>
      </c>
      <c r="F82" s="1517">
        <v>44797</v>
      </c>
      <c r="G82" s="1"/>
      <c r="H82" s="1"/>
      <c r="I82" s="1"/>
      <c r="J82" s="1"/>
      <c r="K82" s="1"/>
      <c r="L82" s="1"/>
      <c r="M82" s="1"/>
      <c r="N82" s="1"/>
    </row>
    <row r="83" spans="1:14" ht="16.5">
      <c r="A83" s="1"/>
      <c r="B83" s="1"/>
      <c r="C83" s="1"/>
      <c r="D83" s="39" t="s">
        <v>77</v>
      </c>
      <c r="E83" s="1521" t="s">
        <v>101</v>
      </c>
      <c r="F83" s="1517">
        <v>44831</v>
      </c>
      <c r="G83" s="1"/>
      <c r="H83" s="1"/>
      <c r="I83" s="1"/>
      <c r="J83" s="1"/>
      <c r="K83" s="1"/>
      <c r="L83" s="1"/>
      <c r="M83" s="1"/>
      <c r="N83" s="1"/>
    </row>
    <row r="84" spans="1:14" ht="16.5">
      <c r="A84" s="1"/>
      <c r="B84" s="1"/>
      <c r="C84" s="1"/>
      <c r="D84" s="39" t="s">
        <v>78</v>
      </c>
      <c r="E84" s="1518" t="s">
        <v>101</v>
      </c>
      <c r="F84" s="1517">
        <v>44825</v>
      </c>
      <c r="G84" s="1"/>
      <c r="H84" s="1"/>
      <c r="I84" s="19"/>
      <c r="J84" s="1"/>
      <c r="K84" s="1"/>
      <c r="L84" s="1"/>
      <c r="M84" s="1"/>
      <c r="N84" s="1"/>
    </row>
    <row r="85" spans="1:14" ht="16.5">
      <c r="A85" s="1"/>
      <c r="B85" s="1"/>
      <c r="C85" s="1"/>
      <c r="D85" s="39" t="s">
        <v>79</v>
      </c>
      <c r="E85" s="1516" t="s">
        <v>101</v>
      </c>
      <c r="F85" s="1517">
        <v>44769</v>
      </c>
      <c r="G85" s="19"/>
      <c r="H85" s="1"/>
      <c r="I85" s="1"/>
      <c r="J85" s="1"/>
      <c r="K85" s="1"/>
      <c r="L85" s="1"/>
      <c r="M85" s="1"/>
      <c r="N85" s="1"/>
    </row>
    <row r="86" spans="1:14" ht="16.5">
      <c r="A86" s="1"/>
      <c r="B86" s="1"/>
      <c r="C86" s="1"/>
      <c r="D86" s="39" t="s">
        <v>80</v>
      </c>
      <c r="E86" s="1516"/>
      <c r="F86" s="1517"/>
      <c r="G86" s="1"/>
      <c r="H86" s="1"/>
      <c r="I86" s="1"/>
      <c r="J86" s="1"/>
      <c r="K86" s="1"/>
      <c r="L86" s="1"/>
      <c r="M86" s="1"/>
      <c r="N86" s="1"/>
    </row>
    <row r="87" spans="1:14" ht="16.5">
      <c r="A87" s="1"/>
      <c r="B87" s="1"/>
      <c r="C87" s="1"/>
      <c r="D87" s="39" t="s">
        <v>81</v>
      </c>
      <c r="E87" s="1518" t="s">
        <v>101</v>
      </c>
      <c r="F87" s="1517">
        <v>44825</v>
      </c>
      <c r="G87" s="1"/>
      <c r="H87" s="1"/>
      <c r="I87" s="1"/>
      <c r="J87" s="1"/>
      <c r="K87" s="1"/>
      <c r="L87" s="1"/>
      <c r="M87" s="1"/>
      <c r="N87" s="1"/>
    </row>
    <row r="88" spans="1:14" ht="16.5">
      <c r="A88" s="1"/>
      <c r="B88" s="1"/>
      <c r="C88" s="1"/>
      <c r="D88" s="39" t="s">
        <v>82</v>
      </c>
      <c r="E88" s="1518"/>
      <c r="F88" s="1517"/>
      <c r="G88" s="1"/>
      <c r="H88" s="1"/>
      <c r="I88" s="1"/>
      <c r="J88" s="1"/>
      <c r="K88" s="1"/>
      <c r="L88" s="1"/>
      <c r="M88" s="1"/>
      <c r="N88" s="1"/>
    </row>
    <row r="89" spans="1:14" ht="16.5">
      <c r="A89" s="1"/>
      <c r="B89" s="1"/>
      <c r="C89" s="1"/>
      <c r="D89" s="39" t="s">
        <v>83</v>
      </c>
      <c r="E89" s="1518" t="s">
        <v>101</v>
      </c>
      <c r="F89" s="1517">
        <v>44818</v>
      </c>
      <c r="G89" s="1"/>
      <c r="H89" s="1"/>
      <c r="I89" s="1"/>
      <c r="J89" s="1"/>
      <c r="K89" s="1"/>
      <c r="L89" s="1"/>
      <c r="M89" s="1"/>
      <c r="N89" s="1"/>
    </row>
    <row r="90" spans="1:14" ht="16.5">
      <c r="A90" s="1"/>
      <c r="B90" s="1"/>
      <c r="C90" s="1"/>
      <c r="D90" s="39" t="s">
        <v>84</v>
      </c>
      <c r="E90" s="1521" t="s">
        <v>101</v>
      </c>
      <c r="F90" s="1517">
        <v>44782</v>
      </c>
      <c r="G90" s="1"/>
      <c r="H90" s="1"/>
      <c r="I90" s="1"/>
      <c r="J90" s="1"/>
      <c r="K90" s="1"/>
      <c r="L90" s="1"/>
      <c r="M90" s="1"/>
      <c r="N90" s="1"/>
    </row>
    <row r="91" spans="1:14" ht="16.5">
      <c r="A91" s="1"/>
      <c r="B91" s="1"/>
      <c r="C91" s="1"/>
      <c r="D91" s="39" t="s">
        <v>85</v>
      </c>
      <c r="E91" s="1516" t="s">
        <v>101</v>
      </c>
      <c r="F91" s="1517">
        <v>44804</v>
      </c>
      <c r="G91" s="1"/>
      <c r="H91" s="1"/>
      <c r="I91" s="1"/>
      <c r="J91" s="1"/>
      <c r="K91" s="1"/>
      <c r="L91" s="1"/>
      <c r="M91" s="1"/>
      <c r="N91" s="1"/>
    </row>
    <row r="92" spans="1:14" ht="16.5">
      <c r="A92" s="1"/>
      <c r="B92" s="1"/>
      <c r="C92" s="1"/>
      <c r="D92" s="39" t="s">
        <v>86</v>
      </c>
      <c r="E92" s="1518" t="s">
        <v>101</v>
      </c>
      <c r="F92" s="1517">
        <v>44785</v>
      </c>
      <c r="G92" s="1"/>
      <c r="H92" s="1"/>
      <c r="I92" s="1"/>
      <c r="J92" s="1"/>
      <c r="K92" s="1"/>
      <c r="L92" s="1"/>
      <c r="M92" s="1"/>
      <c r="N92" s="1"/>
    </row>
    <row r="93" spans="1:14" ht="16.5">
      <c r="A93" s="1"/>
      <c r="B93" s="1"/>
      <c r="C93" s="1"/>
      <c r="D93" s="39" t="s">
        <v>87</v>
      </c>
      <c r="E93" s="1516" t="s">
        <v>101</v>
      </c>
      <c r="F93" s="1517">
        <v>44810</v>
      </c>
      <c r="G93" s="1"/>
      <c r="H93" s="1"/>
      <c r="I93" s="1"/>
      <c r="J93" s="1"/>
      <c r="K93" s="1"/>
      <c r="L93" s="1"/>
      <c r="M93" s="1"/>
      <c r="N93" s="1"/>
    </row>
    <row r="94" spans="1:14" ht="16.5">
      <c r="A94" s="1"/>
      <c r="B94" s="1"/>
      <c r="C94" s="1"/>
      <c r="D94" s="39" t="s">
        <v>88</v>
      </c>
      <c r="E94" s="1518" t="s">
        <v>101</v>
      </c>
      <c r="F94" s="1517">
        <v>44803</v>
      </c>
      <c r="G94" s="1"/>
      <c r="H94" s="1"/>
      <c r="I94" s="1"/>
      <c r="J94" s="1"/>
      <c r="K94" s="1"/>
      <c r="L94" s="1"/>
      <c r="M94" s="1"/>
      <c r="N94" s="1"/>
    </row>
    <row r="95" spans="1:14" ht="16.5">
      <c r="A95" s="1"/>
      <c r="B95" s="1"/>
      <c r="C95" s="1"/>
      <c r="D95" s="39" t="s">
        <v>89</v>
      </c>
      <c r="E95" s="1522" t="s">
        <v>101</v>
      </c>
      <c r="F95" s="1517">
        <v>44831</v>
      </c>
      <c r="G95" s="1"/>
      <c r="H95" s="1"/>
      <c r="I95" s="1"/>
      <c r="J95" s="1"/>
      <c r="K95" s="1"/>
      <c r="L95" s="1"/>
      <c r="M95" s="1"/>
      <c r="N95" s="1"/>
    </row>
    <row r="96" spans="1:14" ht="16.5">
      <c r="A96" s="1"/>
      <c r="B96" s="1"/>
      <c r="C96" s="1"/>
      <c r="D96" s="39" t="s">
        <v>90</v>
      </c>
      <c r="E96" s="1516"/>
      <c r="F96" s="1517"/>
      <c r="G96" s="1"/>
      <c r="H96" s="1"/>
      <c r="I96" s="1"/>
      <c r="J96" s="1"/>
      <c r="K96" s="1"/>
      <c r="L96" s="1"/>
      <c r="M96" s="1"/>
      <c r="N96" s="1"/>
    </row>
    <row r="97" spans="1:14" ht="16.5">
      <c r="A97" s="1"/>
      <c r="B97" s="1"/>
      <c r="C97" s="1"/>
      <c r="D97" s="39" t="s">
        <v>91</v>
      </c>
      <c r="E97" s="1516" t="s">
        <v>101</v>
      </c>
      <c r="F97" s="1517">
        <v>44764</v>
      </c>
      <c r="G97" s="1"/>
      <c r="H97" s="1"/>
      <c r="I97" s="1"/>
      <c r="J97" s="1"/>
      <c r="K97" s="1"/>
      <c r="L97" s="1"/>
      <c r="M97" s="1"/>
      <c r="N97" s="1"/>
    </row>
    <row r="98" spans="1:14">
      <c r="A98" s="1"/>
      <c r="B98" s="1"/>
      <c r="C98" s="1"/>
      <c r="D98" s="1"/>
      <c r="E98" s="1"/>
      <c r="F98" s="1"/>
      <c r="G98" s="1"/>
      <c r="H98" s="1"/>
      <c r="I98" s="1"/>
      <c r="J98" s="1"/>
      <c r="K98" s="1"/>
      <c r="L98" s="1"/>
      <c r="M98" s="1"/>
      <c r="N98" s="1"/>
    </row>
    <row r="99" spans="1:14" ht="16.5">
      <c r="A99" s="1"/>
      <c r="B99" s="1"/>
      <c r="C99" s="1"/>
      <c r="D99" s="1"/>
      <c r="E99" s="1"/>
      <c r="F99" s="1"/>
      <c r="G99" s="1"/>
      <c r="H99" s="6"/>
      <c r="I99" s="1"/>
      <c r="J99" s="1"/>
      <c r="K99" s="1"/>
      <c r="L99" s="1"/>
      <c r="M99" s="1"/>
      <c r="N99" s="1"/>
    </row>
    <row r="100" spans="1:14" ht="17.25">
      <c r="A100" s="34" t="s">
        <v>92</v>
      </c>
      <c r="B100" s="14"/>
      <c r="C100" s="8"/>
      <c r="D100" s="8"/>
      <c r="E100" s="8"/>
      <c r="F100" s="14"/>
      <c r="G100" s="8"/>
      <c r="H100" s="15"/>
      <c r="I100" s="8"/>
      <c r="J100" s="8"/>
      <c r="K100" s="8"/>
      <c r="L100" s="8"/>
      <c r="M100" s="1"/>
      <c r="N100" s="1"/>
    </row>
    <row r="101" spans="1:14" ht="67.5" customHeight="1">
      <c r="A101" s="1523" t="s">
        <v>106</v>
      </c>
      <c r="B101" s="1524"/>
      <c r="C101" s="1524"/>
      <c r="D101" s="1524"/>
      <c r="E101" s="1524"/>
      <c r="F101" s="1524"/>
      <c r="G101" s="1524"/>
      <c r="H101" s="1524"/>
      <c r="I101" s="1524"/>
      <c r="J101" s="1524"/>
      <c r="K101" s="1524"/>
      <c r="L101" s="24"/>
      <c r="M101" s="1"/>
      <c r="N101" s="1"/>
    </row>
    <row r="102" spans="1:14" ht="51" customHeight="1">
      <c r="A102" s="1368" t="s">
        <v>100</v>
      </c>
      <c r="B102" s="1369"/>
      <c r="C102" s="1369"/>
      <c r="D102" s="1369"/>
      <c r="E102" s="1369"/>
      <c r="F102" s="1369"/>
      <c r="G102" s="1369"/>
      <c r="H102" s="1369"/>
      <c r="I102" s="1369"/>
      <c r="J102" s="1369"/>
      <c r="K102" s="1369"/>
      <c r="L102" s="27"/>
      <c r="M102" s="1"/>
      <c r="N102" s="1"/>
    </row>
    <row r="103" spans="1:14" ht="129.75" customHeight="1">
      <c r="A103" s="1368" t="s">
        <v>93</v>
      </c>
      <c r="B103" s="1368"/>
      <c r="C103" s="1368"/>
      <c r="D103" s="1368"/>
      <c r="E103" s="1368"/>
      <c r="F103" s="1368"/>
      <c r="G103" s="1368"/>
      <c r="H103" s="1368"/>
      <c r="I103" s="1368"/>
      <c r="J103" s="1368"/>
      <c r="K103" s="1368"/>
      <c r="L103" s="35"/>
      <c r="M103" s="1"/>
      <c r="N103" s="1"/>
    </row>
    <row r="104" spans="1:14" ht="75" customHeight="1">
      <c r="A104" s="1368" t="s">
        <v>104</v>
      </c>
      <c r="B104" s="1368"/>
      <c r="C104" s="1368"/>
      <c r="D104" s="1368"/>
      <c r="E104" s="1368"/>
      <c r="F104" s="1368"/>
      <c r="G104" s="1368"/>
      <c r="H104" s="1368"/>
      <c r="I104" s="1368"/>
      <c r="J104" s="1368"/>
      <c r="K104" s="1368"/>
      <c r="L104" s="24"/>
      <c r="M104" s="1"/>
      <c r="N104" s="1"/>
    </row>
    <row r="105" spans="1:14" ht="51.75" customHeight="1">
      <c r="A105" s="1367" t="s">
        <v>94</v>
      </c>
      <c r="B105" s="1367"/>
      <c r="C105" s="1367"/>
      <c r="D105" s="1367"/>
      <c r="E105" s="1367"/>
      <c r="F105" s="1367"/>
      <c r="G105" s="1367"/>
      <c r="H105" s="1367"/>
      <c r="I105" s="1367"/>
      <c r="J105" s="1367"/>
      <c r="K105" s="1367"/>
      <c r="L105" s="24"/>
      <c r="M105" s="1"/>
      <c r="N105" s="1"/>
    </row>
    <row r="106" spans="1:14" ht="28.5" customHeight="1">
      <c r="A106" s="1367" t="s">
        <v>95</v>
      </c>
      <c r="B106" s="1367"/>
      <c r="C106" s="1367"/>
      <c r="D106" s="1367"/>
      <c r="E106" s="1367"/>
      <c r="F106" s="1367"/>
      <c r="G106" s="1367"/>
      <c r="H106" s="1367"/>
      <c r="I106" s="1367"/>
      <c r="J106" s="1367"/>
      <c r="K106" s="1367"/>
      <c r="L106" s="36"/>
      <c r="M106" s="1"/>
      <c r="N106" s="1"/>
    </row>
    <row r="107" spans="1:14" ht="44.25" customHeight="1">
      <c r="A107" s="1367" t="s">
        <v>96</v>
      </c>
      <c r="B107" s="1367"/>
      <c r="C107" s="1367"/>
      <c r="D107" s="1367"/>
      <c r="E107" s="1367"/>
      <c r="F107" s="1367"/>
      <c r="G107" s="1367"/>
      <c r="H107" s="1367"/>
      <c r="I107" s="1367"/>
      <c r="J107" s="1367"/>
      <c r="K107" s="1367"/>
      <c r="L107" s="36"/>
      <c r="M107" s="1"/>
      <c r="N107" s="1"/>
    </row>
    <row r="108" spans="1:14" ht="44.25" customHeight="1">
      <c r="A108" s="1367" t="s">
        <v>2472</v>
      </c>
      <c r="B108" s="1367"/>
      <c r="C108" s="1367"/>
      <c r="D108" s="1367"/>
      <c r="E108" s="1367"/>
      <c r="F108" s="1367"/>
      <c r="G108" s="1367"/>
      <c r="H108" s="1367"/>
      <c r="I108" s="1367"/>
      <c r="J108" s="1367"/>
      <c r="K108" s="1367"/>
      <c r="L108" s="36"/>
      <c r="M108" s="1"/>
      <c r="N108" s="1"/>
    </row>
    <row r="109" spans="1:14" ht="46.5" customHeight="1">
      <c r="A109" s="1367" t="s">
        <v>97</v>
      </c>
      <c r="B109" s="1367"/>
      <c r="C109" s="1367"/>
      <c r="D109" s="1367"/>
      <c r="E109" s="1367"/>
      <c r="F109" s="1367"/>
      <c r="G109" s="1367"/>
      <c r="H109" s="1367"/>
      <c r="I109" s="1367"/>
      <c r="J109" s="1367"/>
      <c r="K109" s="1367"/>
      <c r="L109" s="36"/>
      <c r="M109" s="1"/>
      <c r="N109" s="1"/>
    </row>
    <row r="110" spans="1:14" ht="48.75" customHeight="1">
      <c r="A110" s="1367" t="s">
        <v>98</v>
      </c>
      <c r="B110" s="1367"/>
      <c r="C110" s="1367"/>
      <c r="D110" s="1367"/>
      <c r="E110" s="1367"/>
      <c r="F110" s="1367"/>
      <c r="G110" s="1367"/>
      <c r="H110" s="1367"/>
      <c r="I110" s="1367"/>
      <c r="J110" s="1367"/>
      <c r="K110" s="1367"/>
      <c r="L110" s="36"/>
      <c r="M110" s="1"/>
      <c r="N110" s="1"/>
    </row>
  </sheetData>
  <mergeCells count="12">
    <mergeCell ref="A102:K102"/>
    <mergeCell ref="A103:K103"/>
    <mergeCell ref="A104:K104"/>
    <mergeCell ref="B2:M2"/>
    <mergeCell ref="D5:E5"/>
    <mergeCell ref="A101:K101"/>
    <mergeCell ref="A110:K110"/>
    <mergeCell ref="A105:K105"/>
    <mergeCell ref="A106:K106"/>
    <mergeCell ref="A107:K107"/>
    <mergeCell ref="A108:K108"/>
    <mergeCell ref="A109:K10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M73"/>
  <sheetViews>
    <sheetView showGridLines="0" zoomScaleNormal="100" workbookViewId="0"/>
  </sheetViews>
  <sheetFormatPr baseColWidth="10" defaultRowHeight="15"/>
  <cols>
    <col min="1" max="1" width="3.140625" customWidth="1"/>
    <col min="2" max="2" width="38.85546875" customWidth="1"/>
    <col min="3" max="3" width="36.85546875" customWidth="1"/>
    <col min="4" max="4" width="34.5703125" customWidth="1"/>
    <col min="5" max="5" width="16.7109375" customWidth="1"/>
    <col min="6" max="6" width="11.5703125" customWidth="1"/>
    <col min="7" max="7" width="13.42578125" customWidth="1"/>
    <col min="8" max="8" width="36.7109375" customWidth="1"/>
    <col min="9" max="9" width="13.140625" customWidth="1"/>
    <col min="10" max="10" width="13.7109375" customWidth="1"/>
    <col min="11" max="11" width="24.7109375" customWidth="1"/>
    <col min="12" max="12" width="24" customWidth="1"/>
    <col min="13" max="13" width="36.140625" customWidth="1"/>
  </cols>
  <sheetData>
    <row r="1" spans="2:12" s="177" customFormat="1"/>
    <row r="2" spans="2:12" s="177" customFormat="1" ht="18" customHeight="1">
      <c r="B2" s="247" t="s">
        <v>235</v>
      </c>
      <c r="D2" s="380" t="s">
        <v>551</v>
      </c>
      <c r="E2" s="380">
        <v>2022</v>
      </c>
      <c r="F2" s="381"/>
      <c r="G2" s="179"/>
      <c r="H2" s="179"/>
      <c r="I2" s="179"/>
      <c r="J2" s="179"/>
      <c r="K2" s="179"/>
      <c r="L2" s="180" t="s">
        <v>234</v>
      </c>
    </row>
    <row r="3" spans="2:12" s="177" customFormat="1" ht="18.75">
      <c r="B3" s="382"/>
      <c r="C3" s="381"/>
      <c r="D3" s="179"/>
      <c r="E3" s="179"/>
      <c r="F3" s="179"/>
      <c r="G3" s="179"/>
      <c r="H3" s="179"/>
      <c r="I3" s="179"/>
      <c r="J3" s="179"/>
      <c r="K3" s="179"/>
      <c r="L3" s="179"/>
    </row>
    <row r="4" spans="2:12" s="177" customFormat="1" ht="21">
      <c r="B4" s="247" t="s">
        <v>552</v>
      </c>
      <c r="C4" s="179"/>
      <c r="D4" s="179"/>
      <c r="E4" s="179"/>
      <c r="F4" s="179"/>
      <c r="G4" s="179"/>
      <c r="H4" s="179"/>
      <c r="I4" s="179"/>
      <c r="J4" s="179"/>
      <c r="K4" s="179"/>
      <c r="L4" s="179"/>
    </row>
    <row r="5" spans="2:12" s="177" customFormat="1" ht="18.75" customHeight="1">
      <c r="B5" s="248"/>
      <c r="E5" s="249"/>
      <c r="F5" s="249"/>
      <c r="G5" s="249"/>
      <c r="H5" s="248"/>
      <c r="I5" s="249"/>
      <c r="J5" s="249"/>
      <c r="L5" s="383">
        <v>44742</v>
      </c>
    </row>
    <row r="6" spans="2:12" s="177" customFormat="1">
      <c r="B6" s="182" t="s">
        <v>228</v>
      </c>
      <c r="C6" s="182" t="s">
        <v>227</v>
      </c>
      <c r="D6" s="182" t="s">
        <v>226</v>
      </c>
      <c r="E6" s="182"/>
      <c r="F6" s="183" t="s">
        <v>225</v>
      </c>
      <c r="G6" s="183"/>
      <c r="H6" s="182" t="s">
        <v>224</v>
      </c>
      <c r="I6" s="1381" t="s">
        <v>223</v>
      </c>
      <c r="J6" s="1381"/>
      <c r="K6" s="182" t="s">
        <v>222</v>
      </c>
      <c r="L6" s="182" t="s">
        <v>221</v>
      </c>
    </row>
    <row r="7" spans="2:12" s="186" customFormat="1">
      <c r="B7" s="1382" t="s">
        <v>220</v>
      </c>
      <c r="C7" s="1379" t="s">
        <v>219</v>
      </c>
      <c r="D7" s="1379" t="s">
        <v>218</v>
      </c>
      <c r="E7" s="1379" t="s">
        <v>217</v>
      </c>
      <c r="F7" s="1379" t="s">
        <v>216</v>
      </c>
      <c r="G7" s="1379"/>
      <c r="H7" s="1379" t="s">
        <v>215</v>
      </c>
      <c r="I7" s="1379" t="s">
        <v>214</v>
      </c>
      <c r="J7" s="1379"/>
      <c r="K7" s="1379" t="s">
        <v>240</v>
      </c>
      <c r="L7" s="1386" t="s">
        <v>553</v>
      </c>
    </row>
    <row r="8" spans="2:12" s="186" customFormat="1">
      <c r="B8" s="1382"/>
      <c r="C8" s="1379"/>
      <c r="D8" s="1379"/>
      <c r="E8" s="1379"/>
      <c r="F8" s="187" t="s">
        <v>211</v>
      </c>
      <c r="G8" s="187" t="s">
        <v>210</v>
      </c>
      <c r="H8" s="1379"/>
      <c r="I8" s="187" t="s">
        <v>211</v>
      </c>
      <c r="J8" s="187" t="s">
        <v>210</v>
      </c>
      <c r="K8" s="1379"/>
      <c r="L8" s="1387"/>
    </row>
    <row r="9" spans="2:12" ht="15.95" customHeight="1">
      <c r="B9" s="188" t="s">
        <v>208</v>
      </c>
      <c r="C9" s="189"/>
      <c r="D9" s="189"/>
      <c r="E9" s="189"/>
      <c r="F9" s="189"/>
      <c r="G9" s="189"/>
      <c r="H9" s="189"/>
      <c r="I9" s="189"/>
      <c r="J9" s="189"/>
      <c r="K9" s="189"/>
      <c r="L9" s="190">
        <f>SUM(L10)</f>
        <v>0</v>
      </c>
    </row>
    <row r="10" spans="2:12" ht="19.5" customHeight="1">
      <c r="B10" s="192"/>
      <c r="C10" s="193"/>
      <c r="D10" s="193"/>
      <c r="E10" s="194"/>
      <c r="F10" s="194"/>
      <c r="G10" s="194"/>
      <c r="H10" s="193"/>
      <c r="I10" s="193"/>
      <c r="J10" s="193"/>
      <c r="K10" s="193"/>
      <c r="L10" s="195"/>
    </row>
    <row r="11" spans="2:12" ht="15.95" customHeight="1">
      <c r="B11" s="188" t="s">
        <v>207</v>
      </c>
      <c r="C11" s="189"/>
      <c r="D11" s="189"/>
      <c r="E11" s="196"/>
      <c r="F11" s="196"/>
      <c r="G11" s="196"/>
      <c r="H11" s="189"/>
      <c r="I11" s="189"/>
      <c r="J11" s="189"/>
      <c r="K11" s="189"/>
      <c r="L11" s="190">
        <f>SUM(L12:L21)</f>
        <v>286524176.63000005</v>
      </c>
    </row>
    <row r="12" spans="2:12" ht="15.95" customHeight="1">
      <c r="B12" s="192"/>
      <c r="C12" s="193"/>
      <c r="D12" s="193"/>
      <c r="E12" s="194"/>
      <c r="F12" s="194"/>
      <c r="G12" s="194"/>
      <c r="H12" s="193"/>
      <c r="I12" s="193"/>
      <c r="J12" s="193"/>
      <c r="K12" s="193"/>
      <c r="L12" s="195"/>
    </row>
    <row r="13" spans="2:12" ht="15.95" customHeight="1">
      <c r="B13" s="384" t="s">
        <v>554</v>
      </c>
      <c r="C13" s="385" t="s">
        <v>555</v>
      </c>
      <c r="D13" s="386" t="s">
        <v>345</v>
      </c>
      <c r="E13" s="387">
        <v>0.01</v>
      </c>
      <c r="F13" s="387">
        <v>5.0000000000000001E-3</v>
      </c>
      <c r="G13" s="387">
        <v>5.5E-2</v>
      </c>
      <c r="H13" s="388" t="s">
        <v>556</v>
      </c>
      <c r="I13" s="236" t="s">
        <v>557</v>
      </c>
      <c r="J13" s="236" t="s">
        <v>557</v>
      </c>
      <c r="K13" s="389" t="s">
        <v>558</v>
      </c>
      <c r="L13" s="390">
        <v>156097552.69</v>
      </c>
    </row>
    <row r="14" spans="2:12" ht="15.95" customHeight="1">
      <c r="B14" s="384" t="s">
        <v>256</v>
      </c>
      <c r="C14" s="391" t="s">
        <v>559</v>
      </c>
      <c r="D14" s="386" t="s">
        <v>560</v>
      </c>
      <c r="E14" s="194" t="s">
        <v>557</v>
      </c>
      <c r="F14" s="387">
        <v>3.0000000000000001E-3</v>
      </c>
      <c r="G14" s="387">
        <v>8.0000000000000002E-3</v>
      </c>
      <c r="H14" s="388" t="s">
        <v>557</v>
      </c>
      <c r="I14" s="194" t="s">
        <v>557</v>
      </c>
      <c r="J14" s="194" t="s">
        <v>557</v>
      </c>
      <c r="K14" s="389" t="s">
        <v>558</v>
      </c>
      <c r="L14" s="208">
        <v>59542205.380000003</v>
      </c>
    </row>
    <row r="15" spans="2:12" ht="15.95" customHeight="1">
      <c r="B15" s="384" t="s">
        <v>561</v>
      </c>
      <c r="C15" s="391" t="s">
        <v>562</v>
      </c>
      <c r="D15" s="386" t="s">
        <v>563</v>
      </c>
      <c r="E15" s="194" t="s">
        <v>557</v>
      </c>
      <c r="F15" s="194" t="s">
        <v>557</v>
      </c>
      <c r="G15" s="194" t="s">
        <v>557</v>
      </c>
      <c r="H15" s="385" t="s">
        <v>564</v>
      </c>
      <c r="I15" s="194" t="s">
        <v>557</v>
      </c>
      <c r="J15" s="194" t="s">
        <v>557</v>
      </c>
      <c r="K15" s="389" t="s">
        <v>558</v>
      </c>
      <c r="L15" s="208">
        <v>22073958.559999999</v>
      </c>
    </row>
    <row r="16" spans="2:12" ht="15.95" customHeight="1">
      <c r="B16" s="384" t="s">
        <v>565</v>
      </c>
      <c r="C16" s="385" t="s">
        <v>566</v>
      </c>
      <c r="D16" s="386" t="s">
        <v>109</v>
      </c>
      <c r="E16" s="194" t="s">
        <v>557</v>
      </c>
      <c r="F16" s="194" t="s">
        <v>557</v>
      </c>
      <c r="G16" s="194" t="s">
        <v>557</v>
      </c>
      <c r="H16" s="194" t="s">
        <v>557</v>
      </c>
      <c r="I16" s="392">
        <v>0.1</v>
      </c>
      <c r="J16" s="392">
        <v>0.2</v>
      </c>
      <c r="K16" s="389" t="s">
        <v>558</v>
      </c>
      <c r="L16" s="208">
        <v>16592539.67</v>
      </c>
    </row>
    <row r="17" spans="2:12" ht="15.95" customHeight="1">
      <c r="B17" s="384" t="s">
        <v>567</v>
      </c>
      <c r="C17" s="385" t="s">
        <v>251</v>
      </c>
      <c r="D17" s="386" t="s">
        <v>568</v>
      </c>
      <c r="E17" s="194" t="s">
        <v>557</v>
      </c>
      <c r="F17" s="194" t="s">
        <v>557</v>
      </c>
      <c r="G17" s="194" t="s">
        <v>557</v>
      </c>
      <c r="H17" s="194" t="s">
        <v>557</v>
      </c>
      <c r="I17" s="194" t="s">
        <v>557</v>
      </c>
      <c r="J17" s="194" t="s">
        <v>557</v>
      </c>
      <c r="K17" s="389" t="s">
        <v>558</v>
      </c>
      <c r="L17" s="208">
        <v>13633016.890000001</v>
      </c>
    </row>
    <row r="18" spans="2:12" ht="15.95" customHeight="1">
      <c r="B18" s="384" t="s">
        <v>569</v>
      </c>
      <c r="C18" s="391" t="s">
        <v>570</v>
      </c>
      <c r="D18" s="386" t="s">
        <v>571</v>
      </c>
      <c r="E18" s="194" t="s">
        <v>557</v>
      </c>
      <c r="F18" s="194" t="s">
        <v>557</v>
      </c>
      <c r="G18" s="194" t="s">
        <v>557</v>
      </c>
      <c r="H18" s="194" t="s">
        <v>557</v>
      </c>
      <c r="I18" s="194" t="s">
        <v>557</v>
      </c>
      <c r="J18" s="194" t="s">
        <v>557</v>
      </c>
      <c r="K18" s="389" t="s">
        <v>558</v>
      </c>
      <c r="L18" s="208">
        <v>12188220.6</v>
      </c>
    </row>
    <row r="19" spans="2:12" ht="15.95" customHeight="1">
      <c r="B19" s="384" t="s">
        <v>572</v>
      </c>
      <c r="C19" s="391" t="s">
        <v>570</v>
      </c>
      <c r="D19" s="386" t="s">
        <v>571</v>
      </c>
      <c r="E19" s="194" t="s">
        <v>557</v>
      </c>
      <c r="F19" s="194" t="s">
        <v>557</v>
      </c>
      <c r="G19" s="194" t="s">
        <v>557</v>
      </c>
      <c r="H19" s="194" t="s">
        <v>557</v>
      </c>
      <c r="I19" s="194" t="s">
        <v>557</v>
      </c>
      <c r="J19" s="194" t="s">
        <v>557</v>
      </c>
      <c r="K19" s="389" t="s">
        <v>558</v>
      </c>
      <c r="L19" s="208">
        <v>6245333.9199999999</v>
      </c>
    </row>
    <row r="20" spans="2:12" ht="15.95" customHeight="1">
      <c r="B20" s="384" t="s">
        <v>573</v>
      </c>
      <c r="C20" s="391" t="s">
        <v>570</v>
      </c>
      <c r="D20" s="386" t="s">
        <v>571</v>
      </c>
      <c r="E20" s="194" t="s">
        <v>557</v>
      </c>
      <c r="F20" s="194" t="s">
        <v>557</v>
      </c>
      <c r="G20" s="194" t="s">
        <v>557</v>
      </c>
      <c r="H20" s="194" t="s">
        <v>557</v>
      </c>
      <c r="I20" s="194" t="s">
        <v>557</v>
      </c>
      <c r="J20" s="194" t="s">
        <v>557</v>
      </c>
      <c r="K20" s="389" t="s">
        <v>558</v>
      </c>
      <c r="L20" s="208">
        <v>151348.92000000001</v>
      </c>
    </row>
    <row r="21" spans="2:12" ht="15.95" customHeight="1">
      <c r="B21" s="192"/>
      <c r="C21" s="193"/>
      <c r="D21" s="193"/>
      <c r="E21" s="194"/>
      <c r="F21" s="194"/>
      <c r="G21" s="194"/>
      <c r="H21" s="193"/>
      <c r="I21" s="193"/>
      <c r="J21" s="193"/>
      <c r="K21" s="193"/>
      <c r="L21" s="195"/>
    </row>
    <row r="22" spans="2:12" s="177" customFormat="1" ht="15.95" customHeight="1">
      <c r="B22" s="209" t="s">
        <v>191</v>
      </c>
      <c r="C22" s="210"/>
      <c r="D22" s="210"/>
      <c r="E22" s="211"/>
      <c r="F22" s="211"/>
      <c r="G22" s="211"/>
      <c r="H22" s="210"/>
      <c r="I22" s="210"/>
      <c r="J22" s="210"/>
      <c r="K22" s="210"/>
      <c r="L22" s="213">
        <f>SUM(L23:L23)</f>
        <v>0</v>
      </c>
    </row>
    <row r="23" spans="2:12" s="177" customFormat="1" ht="15.95" customHeight="1">
      <c r="B23" s="192"/>
      <c r="C23" s="217"/>
      <c r="D23" s="217"/>
      <c r="E23" s="216"/>
      <c r="F23" s="216"/>
      <c r="G23" s="216"/>
      <c r="H23" s="217"/>
      <c r="I23" s="217"/>
      <c r="J23" s="217"/>
      <c r="K23" s="217"/>
      <c r="L23" s="219"/>
    </row>
    <row r="24" spans="2:12" ht="15.95" customHeight="1">
      <c r="B24" s="188" t="s">
        <v>179</v>
      </c>
      <c r="C24" s="189"/>
      <c r="D24" s="189"/>
      <c r="E24" s="196"/>
      <c r="F24" s="196"/>
      <c r="G24" s="196"/>
      <c r="H24" s="189"/>
      <c r="I24" s="189"/>
      <c r="J24" s="189"/>
      <c r="K24" s="189"/>
      <c r="L24" s="190">
        <f>SUM(L25:L30)</f>
        <v>4213932.67</v>
      </c>
    </row>
    <row r="25" spans="2:12" ht="15.95" customHeight="1">
      <c r="B25" s="192"/>
      <c r="C25" s="193"/>
      <c r="D25" s="193"/>
      <c r="E25" s="194"/>
      <c r="F25" s="194"/>
      <c r="G25" s="194"/>
      <c r="H25" s="193"/>
      <c r="I25" s="193"/>
      <c r="J25" s="193"/>
      <c r="K25" s="193"/>
      <c r="L25" s="195"/>
    </row>
    <row r="26" spans="2:12" ht="15.95" customHeight="1">
      <c r="B26" s="384" t="s">
        <v>574</v>
      </c>
      <c r="C26" s="194" t="s">
        <v>557</v>
      </c>
      <c r="D26" s="393" t="s">
        <v>575</v>
      </c>
      <c r="E26" s="194" t="s">
        <v>557</v>
      </c>
      <c r="F26" s="236" t="s">
        <v>557</v>
      </c>
      <c r="G26" s="236" t="s">
        <v>557</v>
      </c>
      <c r="H26" s="394" t="s">
        <v>576</v>
      </c>
      <c r="I26" s="236" t="s">
        <v>557</v>
      </c>
      <c r="J26" s="236" t="s">
        <v>557</v>
      </c>
      <c r="K26" s="389" t="s">
        <v>558</v>
      </c>
      <c r="L26" s="208">
        <v>2949375.56</v>
      </c>
    </row>
    <row r="27" spans="2:12" ht="15.95" customHeight="1">
      <c r="B27" s="384" t="s">
        <v>279</v>
      </c>
      <c r="C27" s="194" t="s">
        <v>557</v>
      </c>
      <c r="D27" s="393" t="s">
        <v>575</v>
      </c>
      <c r="E27" s="194" t="s">
        <v>557</v>
      </c>
      <c r="F27" s="236" t="s">
        <v>557</v>
      </c>
      <c r="G27" s="236" t="s">
        <v>557</v>
      </c>
      <c r="H27" s="394" t="s">
        <v>576</v>
      </c>
      <c r="I27" s="236" t="s">
        <v>557</v>
      </c>
      <c r="J27" s="236" t="s">
        <v>557</v>
      </c>
      <c r="K27" s="389" t="s">
        <v>558</v>
      </c>
      <c r="L27" s="208">
        <v>1079107.1100000001</v>
      </c>
    </row>
    <row r="28" spans="2:12" ht="15.75" customHeight="1">
      <c r="B28" s="384" t="s">
        <v>577</v>
      </c>
      <c r="C28" s="194" t="s">
        <v>557</v>
      </c>
      <c r="D28" s="393" t="s">
        <v>575</v>
      </c>
      <c r="E28" s="194" t="s">
        <v>557</v>
      </c>
      <c r="F28" s="194" t="s">
        <v>557</v>
      </c>
      <c r="G28" s="194" t="s">
        <v>557</v>
      </c>
      <c r="H28" s="394" t="s">
        <v>576</v>
      </c>
      <c r="I28" s="236" t="s">
        <v>557</v>
      </c>
      <c r="J28" s="236" t="s">
        <v>557</v>
      </c>
      <c r="K28" s="389" t="s">
        <v>558</v>
      </c>
      <c r="L28" s="208">
        <v>163200</v>
      </c>
    </row>
    <row r="29" spans="2:12" ht="15.95" customHeight="1">
      <c r="B29" s="384" t="s">
        <v>290</v>
      </c>
      <c r="C29" s="194" t="s">
        <v>557</v>
      </c>
      <c r="D29" s="393" t="s">
        <v>578</v>
      </c>
      <c r="E29" s="194" t="s">
        <v>557</v>
      </c>
      <c r="F29" s="194" t="s">
        <v>557</v>
      </c>
      <c r="G29" s="194" t="s">
        <v>557</v>
      </c>
      <c r="H29" s="395" t="s">
        <v>579</v>
      </c>
      <c r="I29" s="194" t="s">
        <v>557</v>
      </c>
      <c r="J29" s="194" t="s">
        <v>557</v>
      </c>
      <c r="K29" s="389" t="s">
        <v>558</v>
      </c>
      <c r="L29" s="208">
        <v>22250</v>
      </c>
    </row>
    <row r="30" spans="2:12" ht="15.95" customHeight="1">
      <c r="B30" s="192"/>
      <c r="C30" s="193"/>
      <c r="D30" s="193"/>
      <c r="E30" s="194"/>
      <c r="F30" s="194"/>
      <c r="G30" s="194"/>
      <c r="H30" s="193"/>
      <c r="I30" s="193"/>
      <c r="J30" s="193"/>
      <c r="K30" s="193"/>
      <c r="L30" s="195"/>
    </row>
    <row r="31" spans="2:12" ht="15.95" customHeight="1">
      <c r="B31" s="188" t="s">
        <v>152</v>
      </c>
      <c r="C31" s="189"/>
      <c r="D31" s="189"/>
      <c r="E31" s="196"/>
      <c r="F31" s="196"/>
      <c r="G31" s="196"/>
      <c r="H31" s="189"/>
      <c r="I31" s="189"/>
      <c r="J31" s="189"/>
      <c r="K31" s="189"/>
      <c r="L31" s="190">
        <f>SUM(L32:L33)</f>
        <v>0</v>
      </c>
    </row>
    <row r="32" spans="2:12" ht="15.95" customHeight="1">
      <c r="B32" s="256"/>
      <c r="C32" s="193"/>
      <c r="D32" s="193"/>
      <c r="E32" s="194"/>
      <c r="F32" s="194"/>
      <c r="G32" s="194"/>
      <c r="H32" s="193"/>
      <c r="I32" s="193"/>
      <c r="J32" s="193"/>
      <c r="K32" s="193"/>
      <c r="L32" s="195"/>
    </row>
    <row r="33" spans="2:12" ht="15.95" customHeight="1">
      <c r="B33" s="256"/>
      <c r="C33" s="193"/>
      <c r="D33" s="193"/>
      <c r="E33" s="194"/>
      <c r="F33" s="194"/>
      <c r="G33" s="194"/>
      <c r="H33" s="193"/>
      <c r="I33" s="193"/>
      <c r="J33" s="193"/>
      <c r="K33" s="193"/>
      <c r="L33" s="195"/>
    </row>
    <row r="34" spans="2:12" ht="15.95" customHeight="1">
      <c r="B34" s="188" t="s">
        <v>151</v>
      </c>
      <c r="C34" s="189"/>
      <c r="D34" s="189"/>
      <c r="E34" s="196"/>
      <c r="F34" s="196"/>
      <c r="G34" s="196"/>
      <c r="H34" s="189"/>
      <c r="I34" s="189"/>
      <c r="J34" s="189"/>
      <c r="K34" s="189"/>
      <c r="L34" s="190">
        <f>SUM(L35:L37)</f>
        <v>858117.9</v>
      </c>
    </row>
    <row r="35" spans="2:12" ht="15.95" customHeight="1">
      <c r="B35" s="256"/>
      <c r="C35" s="193"/>
      <c r="D35" s="193"/>
      <c r="E35" s="194"/>
      <c r="F35" s="194"/>
      <c r="G35" s="194"/>
      <c r="H35" s="193"/>
      <c r="I35" s="193"/>
      <c r="J35" s="193"/>
      <c r="K35" s="193"/>
      <c r="L35" s="195"/>
    </row>
    <row r="36" spans="2:12" ht="42.75" customHeight="1">
      <c r="B36" s="396" t="s">
        <v>580</v>
      </c>
      <c r="C36" s="397" t="s">
        <v>581</v>
      </c>
      <c r="D36" s="393" t="s">
        <v>575</v>
      </c>
      <c r="E36" s="194" t="s">
        <v>557</v>
      </c>
      <c r="F36" s="194" t="s">
        <v>557</v>
      </c>
      <c r="G36" s="194" t="s">
        <v>557</v>
      </c>
      <c r="H36" s="194" t="s">
        <v>557</v>
      </c>
      <c r="I36" s="236" t="s">
        <v>557</v>
      </c>
      <c r="J36" s="236" t="s">
        <v>557</v>
      </c>
      <c r="K36" s="398" t="s">
        <v>582</v>
      </c>
      <c r="L36" s="208">
        <v>858117.9</v>
      </c>
    </row>
    <row r="37" spans="2:12" ht="15.95" customHeight="1">
      <c r="B37" s="256"/>
      <c r="C37" s="193"/>
      <c r="D37" s="193"/>
      <c r="E37" s="194"/>
      <c r="F37" s="194"/>
      <c r="G37" s="194"/>
      <c r="H37" s="193"/>
      <c r="I37" s="193"/>
      <c r="J37" s="193"/>
      <c r="K37" s="193"/>
      <c r="L37" s="195"/>
    </row>
    <row r="38" spans="2:12" s="177" customFormat="1" ht="15.95" customHeight="1">
      <c r="B38" s="209" t="s">
        <v>137</v>
      </c>
      <c r="C38" s="210"/>
      <c r="D38" s="210"/>
      <c r="E38" s="211"/>
      <c r="F38" s="211"/>
      <c r="G38" s="211"/>
      <c r="H38" s="210"/>
      <c r="I38" s="210"/>
      <c r="J38" s="210"/>
      <c r="K38" s="210"/>
      <c r="L38" s="213">
        <f>+L39</f>
        <v>0</v>
      </c>
    </row>
    <row r="39" spans="2:12" s="177" customFormat="1" ht="15.95" customHeight="1">
      <c r="B39" s="274"/>
      <c r="C39" s="217"/>
      <c r="D39" s="217"/>
      <c r="E39" s="216"/>
      <c r="F39" s="216"/>
      <c r="G39" s="216"/>
      <c r="H39" s="217"/>
      <c r="I39" s="217"/>
      <c r="J39" s="217"/>
      <c r="K39" s="217"/>
      <c r="L39" s="219"/>
    </row>
    <row r="40" spans="2:12" ht="15.95" customHeight="1">
      <c r="B40" s="188" t="s">
        <v>136</v>
      </c>
      <c r="C40" s="189"/>
      <c r="D40" s="189"/>
      <c r="E40" s="196"/>
      <c r="F40" s="196"/>
      <c r="G40" s="196"/>
      <c r="H40" s="189"/>
      <c r="I40" s="189"/>
      <c r="J40" s="189"/>
      <c r="K40" s="189"/>
      <c r="L40" s="190">
        <f>SUM(L42:L53)</f>
        <v>81483739.200000003</v>
      </c>
    </row>
    <row r="41" spans="2:12" s="399" customFormat="1" ht="15.95" customHeight="1">
      <c r="B41" s="256"/>
      <c r="C41" s="193"/>
      <c r="D41" s="193"/>
      <c r="E41" s="194"/>
      <c r="F41" s="194"/>
      <c r="G41" s="194"/>
      <c r="H41" s="193"/>
      <c r="I41" s="193"/>
      <c r="J41" s="193"/>
      <c r="K41" s="193"/>
      <c r="L41" s="195"/>
    </row>
    <row r="42" spans="2:12" ht="15.95" customHeight="1">
      <c r="B42" s="384" t="s">
        <v>583</v>
      </c>
      <c r="C42" s="397" t="s">
        <v>584</v>
      </c>
      <c r="D42" s="393" t="s">
        <v>585</v>
      </c>
      <c r="E42" s="194" t="s">
        <v>557</v>
      </c>
      <c r="F42" s="194" t="s">
        <v>557</v>
      </c>
      <c r="G42" s="194" t="s">
        <v>557</v>
      </c>
      <c r="H42" s="194" t="s">
        <v>557</v>
      </c>
      <c r="I42" s="194" t="s">
        <v>557</v>
      </c>
      <c r="J42" s="194" t="s">
        <v>557</v>
      </c>
      <c r="K42" s="389" t="s">
        <v>558</v>
      </c>
      <c r="L42" s="208">
        <v>36479342.380000003</v>
      </c>
    </row>
    <row r="43" spans="2:12" s="399" customFormat="1" ht="15.95" customHeight="1">
      <c r="B43" s="384" t="s">
        <v>586</v>
      </c>
      <c r="C43" s="400" t="s">
        <v>587</v>
      </c>
      <c r="D43" s="401" t="s">
        <v>109</v>
      </c>
      <c r="E43" s="402">
        <v>0.1</v>
      </c>
      <c r="F43" s="194" t="s">
        <v>557</v>
      </c>
      <c r="G43" s="194" t="s">
        <v>557</v>
      </c>
      <c r="H43" s="194" t="s">
        <v>557</v>
      </c>
      <c r="I43" s="194" t="s">
        <v>557</v>
      </c>
      <c r="J43" s="194" t="s">
        <v>557</v>
      </c>
      <c r="K43" s="389" t="s">
        <v>558</v>
      </c>
      <c r="L43" s="208">
        <v>29600008.039999999</v>
      </c>
    </row>
    <row r="44" spans="2:12" ht="15.95" customHeight="1">
      <c r="B44" s="384" t="s">
        <v>253</v>
      </c>
      <c r="C44" s="194" t="s">
        <v>557</v>
      </c>
      <c r="D44" s="393" t="s">
        <v>588</v>
      </c>
      <c r="E44" s="194" t="s">
        <v>557</v>
      </c>
      <c r="F44" s="194" t="s">
        <v>557</v>
      </c>
      <c r="G44" s="194" t="s">
        <v>557</v>
      </c>
      <c r="H44" s="194" t="s">
        <v>557</v>
      </c>
      <c r="I44" s="194" t="s">
        <v>557</v>
      </c>
      <c r="J44" s="194" t="s">
        <v>557</v>
      </c>
      <c r="K44" s="389" t="s">
        <v>558</v>
      </c>
      <c r="L44" s="208">
        <v>5181973.59</v>
      </c>
    </row>
    <row r="45" spans="2:12" ht="15.95" customHeight="1">
      <c r="B45" s="384" t="s">
        <v>589</v>
      </c>
      <c r="C45" s="397" t="s">
        <v>590</v>
      </c>
      <c r="D45" s="403" t="s">
        <v>109</v>
      </c>
      <c r="E45" s="194" t="s">
        <v>557</v>
      </c>
      <c r="F45" s="194" t="s">
        <v>557</v>
      </c>
      <c r="G45" s="194" t="s">
        <v>557</v>
      </c>
      <c r="H45" s="404" t="s">
        <v>591</v>
      </c>
      <c r="I45" s="194" t="s">
        <v>557</v>
      </c>
      <c r="J45" s="194" t="s">
        <v>557</v>
      </c>
      <c r="K45" s="389" t="s">
        <v>558</v>
      </c>
      <c r="L45" s="208">
        <v>3830466.92</v>
      </c>
    </row>
    <row r="46" spans="2:12" s="399" customFormat="1" ht="15.95" customHeight="1">
      <c r="B46" s="384" t="s">
        <v>592</v>
      </c>
      <c r="C46" s="397" t="s">
        <v>593</v>
      </c>
      <c r="D46" s="397" t="s">
        <v>594</v>
      </c>
      <c r="E46" s="194" t="s">
        <v>557</v>
      </c>
      <c r="F46" s="194" t="s">
        <v>557</v>
      </c>
      <c r="G46" s="194" t="s">
        <v>557</v>
      </c>
      <c r="H46" s="194" t="s">
        <v>557</v>
      </c>
      <c r="I46" s="194" t="s">
        <v>557</v>
      </c>
      <c r="J46" s="194" t="s">
        <v>557</v>
      </c>
      <c r="K46" s="389" t="s">
        <v>558</v>
      </c>
      <c r="L46" s="208">
        <v>3171444.77</v>
      </c>
    </row>
    <row r="47" spans="2:12" s="399" customFormat="1" ht="15.95" customHeight="1">
      <c r="B47" s="384" t="s">
        <v>595</v>
      </c>
      <c r="C47" s="400" t="s">
        <v>587</v>
      </c>
      <c r="D47" s="401" t="s">
        <v>109</v>
      </c>
      <c r="E47" s="402">
        <v>0.01</v>
      </c>
      <c r="F47" s="194" t="s">
        <v>557</v>
      </c>
      <c r="G47" s="194" t="s">
        <v>557</v>
      </c>
      <c r="H47" s="194" t="s">
        <v>557</v>
      </c>
      <c r="I47" s="194" t="s">
        <v>557</v>
      </c>
      <c r="J47" s="194" t="s">
        <v>557</v>
      </c>
      <c r="K47" s="389" t="s">
        <v>558</v>
      </c>
      <c r="L47" s="208">
        <v>2960000.83</v>
      </c>
    </row>
    <row r="48" spans="2:12" s="399" customFormat="1" ht="15.95" customHeight="1">
      <c r="B48" s="384" t="s">
        <v>596</v>
      </c>
      <c r="C48" s="405" t="s">
        <v>597</v>
      </c>
      <c r="D48" s="403" t="s">
        <v>109</v>
      </c>
      <c r="E48" s="194" t="s">
        <v>557</v>
      </c>
      <c r="F48" s="396" t="s">
        <v>598</v>
      </c>
      <c r="G48" s="406"/>
      <c r="H48" s="194" t="s">
        <v>557</v>
      </c>
      <c r="I48" s="194" t="s">
        <v>557</v>
      </c>
      <c r="J48" s="194" t="s">
        <v>557</v>
      </c>
      <c r="K48" s="389" t="s">
        <v>558</v>
      </c>
      <c r="L48" s="208">
        <v>163300</v>
      </c>
    </row>
    <row r="49" spans="2:12" ht="15.95" customHeight="1">
      <c r="B49" s="384" t="s">
        <v>599</v>
      </c>
      <c r="C49" s="407" t="s">
        <v>600</v>
      </c>
      <c r="D49" s="393" t="s">
        <v>601</v>
      </c>
      <c r="E49" s="236" t="s">
        <v>557</v>
      </c>
      <c r="F49" s="194" t="s">
        <v>557</v>
      </c>
      <c r="G49" s="194" t="s">
        <v>557</v>
      </c>
      <c r="H49" s="394" t="s">
        <v>576</v>
      </c>
      <c r="I49" s="392">
        <v>0.05</v>
      </c>
      <c r="J49" s="392">
        <v>0.1</v>
      </c>
      <c r="K49" s="389" t="s">
        <v>558</v>
      </c>
      <c r="L49" s="208">
        <v>97200</v>
      </c>
    </row>
    <row r="50" spans="2:12" s="399" customFormat="1" ht="15.95" customHeight="1">
      <c r="B50" s="384" t="s">
        <v>602</v>
      </c>
      <c r="C50" s="397" t="s">
        <v>251</v>
      </c>
      <c r="D50" s="386" t="s">
        <v>568</v>
      </c>
      <c r="E50" s="194" t="s">
        <v>557</v>
      </c>
      <c r="F50" s="194" t="s">
        <v>557</v>
      </c>
      <c r="G50" s="194" t="s">
        <v>557</v>
      </c>
      <c r="H50" s="194" t="s">
        <v>557</v>
      </c>
      <c r="I50" s="194" t="s">
        <v>557</v>
      </c>
      <c r="J50" s="194" t="s">
        <v>557</v>
      </c>
      <c r="K50" s="389" t="s">
        <v>558</v>
      </c>
      <c r="L50" s="208">
        <v>0</v>
      </c>
    </row>
    <row r="51" spans="2:12" s="399" customFormat="1" ht="15.95" customHeight="1">
      <c r="B51" s="384" t="s">
        <v>603</v>
      </c>
      <c r="C51" s="407" t="s">
        <v>604</v>
      </c>
      <c r="D51" s="397" t="s">
        <v>605</v>
      </c>
      <c r="E51" s="194" t="s">
        <v>557</v>
      </c>
      <c r="F51" s="194" t="s">
        <v>557</v>
      </c>
      <c r="G51" s="194" t="s">
        <v>557</v>
      </c>
      <c r="H51" s="194" t="s">
        <v>557</v>
      </c>
      <c r="I51" s="194" t="s">
        <v>557</v>
      </c>
      <c r="J51" s="194" t="s">
        <v>557</v>
      </c>
      <c r="K51" s="389" t="s">
        <v>558</v>
      </c>
      <c r="L51" s="208">
        <v>0</v>
      </c>
    </row>
    <row r="52" spans="2:12" ht="15.95" customHeight="1">
      <c r="B52" s="384" t="s">
        <v>606</v>
      </c>
      <c r="C52" s="397" t="s">
        <v>570</v>
      </c>
      <c r="D52" s="403" t="s">
        <v>109</v>
      </c>
      <c r="E52" s="194" t="s">
        <v>557</v>
      </c>
      <c r="F52" s="194" t="s">
        <v>557</v>
      </c>
      <c r="G52" s="194" t="s">
        <v>557</v>
      </c>
      <c r="H52" s="194" t="s">
        <v>557</v>
      </c>
      <c r="I52" s="194" t="s">
        <v>557</v>
      </c>
      <c r="J52" s="194" t="s">
        <v>557</v>
      </c>
      <c r="K52" s="389" t="s">
        <v>558</v>
      </c>
      <c r="L52" s="208">
        <v>2.67</v>
      </c>
    </row>
    <row r="53" spans="2:12" ht="15.95" customHeight="1">
      <c r="B53" s="256"/>
      <c r="C53" s="193"/>
      <c r="D53" s="193"/>
      <c r="E53" s="194"/>
      <c r="F53" s="194"/>
      <c r="G53" s="194"/>
      <c r="H53" s="193"/>
      <c r="I53" s="193"/>
      <c r="J53" s="193"/>
      <c r="K53" s="193"/>
      <c r="L53" s="195"/>
    </row>
    <row r="54" spans="2:12" ht="15.95" customHeight="1">
      <c r="B54" s="241" t="s">
        <v>108</v>
      </c>
      <c r="C54" s="242"/>
      <c r="D54" s="242"/>
      <c r="E54" s="243"/>
      <c r="F54" s="243"/>
      <c r="G54" s="243"/>
      <c r="H54" s="242"/>
      <c r="I54" s="242"/>
      <c r="J54" s="242"/>
      <c r="K54" s="242"/>
      <c r="L54" s="276">
        <f>+L9+L11+L22+L24+L31+L34+L38+L40</f>
        <v>373079966.40000004</v>
      </c>
    </row>
    <row r="55" spans="2:12">
      <c r="B55" s="245"/>
      <c r="C55" s="246"/>
      <c r="D55" s="246"/>
      <c r="E55" s="246"/>
      <c r="F55" s="246"/>
      <c r="G55" s="246"/>
      <c r="H55" s="246"/>
      <c r="I55" s="246"/>
      <c r="J55" s="246"/>
      <c r="K55" s="246"/>
      <c r="L55" s="246"/>
    </row>
    <row r="56" spans="2:12">
      <c r="B56" s="408"/>
      <c r="C56" s="246"/>
      <c r="D56" s="246"/>
      <c r="E56" s="246"/>
      <c r="F56" s="246"/>
      <c r="G56" s="246"/>
      <c r="H56" s="246"/>
      <c r="I56" s="246"/>
      <c r="J56" s="246"/>
      <c r="K56" s="246"/>
      <c r="L56" s="246"/>
    </row>
    <row r="57" spans="2:12">
      <c r="B57" s="408"/>
      <c r="C57" s="246"/>
      <c r="D57" s="246"/>
      <c r="E57" s="246"/>
      <c r="F57" s="246"/>
      <c r="G57" s="246"/>
      <c r="H57" s="246"/>
      <c r="I57" s="246"/>
      <c r="J57" s="246"/>
      <c r="K57" s="246"/>
      <c r="L57" s="246"/>
    </row>
    <row r="58" spans="2:12">
      <c r="B58" s="408"/>
      <c r="C58" s="246"/>
      <c r="D58" s="246"/>
      <c r="E58" s="246"/>
      <c r="F58" s="246"/>
      <c r="G58" s="246"/>
      <c r="H58" s="246"/>
      <c r="I58" s="246"/>
      <c r="J58" s="246"/>
      <c r="K58" s="246"/>
      <c r="L58" s="246"/>
    </row>
    <row r="59" spans="2:12" hidden="1">
      <c r="B59" s="408"/>
      <c r="C59" s="246"/>
      <c r="D59" s="246"/>
      <c r="E59" s="246"/>
      <c r="F59" s="246"/>
      <c r="G59" s="246"/>
      <c r="H59" s="246"/>
      <c r="I59" s="246"/>
      <c r="J59" s="246"/>
      <c r="K59" s="246"/>
      <c r="L59" s="246"/>
    </row>
    <row r="60" spans="2:12" hidden="1">
      <c r="B60" s="408"/>
      <c r="C60" s="246"/>
      <c r="D60" s="246"/>
      <c r="E60" s="246"/>
      <c r="F60" s="246"/>
      <c r="G60" s="246"/>
      <c r="H60" s="246"/>
      <c r="I60" s="246"/>
      <c r="J60" s="246"/>
      <c r="K60" s="246"/>
      <c r="L60" s="246"/>
    </row>
    <row r="61" spans="2:12" hidden="1">
      <c r="B61" s="408"/>
      <c r="C61" s="246"/>
      <c r="D61" s="246"/>
      <c r="E61" s="246"/>
      <c r="F61" s="246"/>
      <c r="G61" s="246"/>
      <c r="H61" s="246"/>
      <c r="I61" s="246"/>
      <c r="J61" s="246"/>
      <c r="K61" s="246"/>
      <c r="L61" s="246"/>
    </row>
    <row r="62" spans="2:12" hidden="1">
      <c r="B62" s="408"/>
      <c r="C62" s="246"/>
      <c r="D62" s="246"/>
      <c r="E62" s="246"/>
      <c r="F62" s="246"/>
      <c r="G62" s="246"/>
      <c r="H62" s="246"/>
      <c r="I62" s="246"/>
      <c r="J62" s="246"/>
      <c r="K62" s="246"/>
      <c r="L62" s="246"/>
    </row>
    <row r="63" spans="2:12" hidden="1">
      <c r="B63" s="408"/>
      <c r="C63" s="246"/>
      <c r="D63" s="246"/>
      <c r="E63" s="246"/>
      <c r="F63" s="246"/>
      <c r="G63" s="246"/>
      <c r="H63" s="246"/>
      <c r="I63" s="246"/>
      <c r="J63" s="246"/>
      <c r="K63" s="246"/>
      <c r="L63" s="246"/>
    </row>
    <row r="64" spans="2:12" hidden="1">
      <c r="B64" s="408"/>
      <c r="C64" s="246"/>
      <c r="D64" s="246"/>
      <c r="E64" s="246"/>
      <c r="F64" s="246"/>
      <c r="G64" s="246"/>
      <c r="H64" s="246"/>
      <c r="I64" s="246"/>
      <c r="J64" s="246"/>
      <c r="K64" s="246"/>
      <c r="L64" s="246"/>
    </row>
    <row r="65" spans="2:13">
      <c r="B65" s="408"/>
      <c r="C65" s="246"/>
      <c r="D65" s="246"/>
      <c r="E65" s="246"/>
      <c r="F65" s="246"/>
      <c r="G65" s="246"/>
      <c r="H65" s="246"/>
      <c r="I65" s="246"/>
      <c r="J65" s="246"/>
      <c r="K65" s="246"/>
      <c r="L65" s="246"/>
    </row>
    <row r="67" spans="2:13" ht="15.75">
      <c r="L67" s="409">
        <v>328150005.66000003</v>
      </c>
      <c r="M67" t="s">
        <v>607</v>
      </c>
    </row>
    <row r="68" spans="2:13" ht="15.75">
      <c r="L68" s="409">
        <v>41758515.969999999</v>
      </c>
      <c r="M68" t="s">
        <v>608</v>
      </c>
    </row>
    <row r="69" spans="2:13" ht="15.75">
      <c r="L69" s="410">
        <f>+L50</f>
        <v>0</v>
      </c>
      <c r="M69" t="s">
        <v>609</v>
      </c>
    </row>
    <row r="70" spans="2:13" ht="15.75">
      <c r="L70" s="410">
        <f>+L46</f>
        <v>3171444.77</v>
      </c>
      <c r="M70" t="s">
        <v>610</v>
      </c>
    </row>
    <row r="71" spans="2:13" ht="15.75">
      <c r="L71" s="409"/>
    </row>
    <row r="72" spans="2:13" ht="23.25">
      <c r="I72" s="411" t="s">
        <v>611</v>
      </c>
      <c r="L72" s="412">
        <f>SUM(L67:L71)</f>
        <v>373079966.39999998</v>
      </c>
    </row>
    <row r="73" spans="2:13" ht="15.75">
      <c r="L73" s="409">
        <f>+L54-L72</f>
        <v>0</v>
      </c>
    </row>
  </sheetData>
  <mergeCells count="10">
    <mergeCell ref="K7:K8"/>
    <mergeCell ref="L7:L8"/>
    <mergeCell ref="I6:J6"/>
    <mergeCell ref="B7:B8"/>
    <mergeCell ref="C7:C8"/>
    <mergeCell ref="D7:D8"/>
    <mergeCell ref="E7:E8"/>
    <mergeCell ref="F7:G7"/>
    <mergeCell ref="H7:H8"/>
    <mergeCell ref="I7:J7"/>
  </mergeCells>
  <printOptions horizontalCentered="1"/>
  <pageMargins left="0.31496062992125984" right="0.11811023622047245" top="0.35433070866141736" bottom="0" header="0.31496062992125984" footer="0.31496062992125984"/>
  <pageSetup paperSize="5"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K62"/>
  <sheetViews>
    <sheetView showGridLines="0" zoomScaleNormal="100" workbookViewId="0"/>
  </sheetViews>
  <sheetFormatPr baseColWidth="10" defaultRowHeight="15"/>
  <cols>
    <col min="1" max="1" width="65.140625" customWidth="1"/>
    <col min="2" max="2" width="28.42578125" customWidth="1"/>
    <col min="3" max="6" width="17.7109375" customWidth="1"/>
    <col min="7" max="7" width="19.42578125" customWidth="1"/>
    <col min="8" max="9" width="17.7109375" customWidth="1"/>
    <col min="10" max="10" width="27" customWidth="1"/>
    <col min="11" max="11" width="17.7109375" customWidth="1"/>
    <col min="257" max="257" width="65.140625" customWidth="1"/>
    <col min="258" max="258" width="28.42578125" customWidth="1"/>
    <col min="259" max="262" width="17.7109375" customWidth="1"/>
    <col min="263" max="263" width="19.42578125" customWidth="1"/>
    <col min="264" max="265" width="17.7109375" customWidth="1"/>
    <col min="266" max="266" width="27" customWidth="1"/>
    <col min="267" max="267" width="17.7109375" customWidth="1"/>
    <col min="513" max="513" width="65.140625" customWidth="1"/>
    <col min="514" max="514" width="28.42578125" customWidth="1"/>
    <col min="515" max="518" width="17.7109375" customWidth="1"/>
    <col min="519" max="519" width="19.42578125" customWidth="1"/>
    <col min="520" max="521" width="17.7109375" customWidth="1"/>
    <col min="522" max="522" width="27" customWidth="1"/>
    <col min="523" max="523" width="17.7109375" customWidth="1"/>
    <col min="769" max="769" width="65.140625" customWidth="1"/>
    <col min="770" max="770" width="28.42578125" customWidth="1"/>
    <col min="771" max="774" width="17.7109375" customWidth="1"/>
    <col min="775" max="775" width="19.42578125" customWidth="1"/>
    <col min="776" max="777" width="17.7109375" customWidth="1"/>
    <col min="778" max="778" width="27" customWidth="1"/>
    <col min="779" max="779" width="17.7109375" customWidth="1"/>
    <col min="1025" max="1025" width="65.140625" customWidth="1"/>
    <col min="1026" max="1026" width="28.42578125" customWidth="1"/>
    <col min="1027" max="1030" width="17.7109375" customWidth="1"/>
    <col min="1031" max="1031" width="19.42578125" customWidth="1"/>
    <col min="1032" max="1033" width="17.7109375" customWidth="1"/>
    <col min="1034" max="1034" width="27" customWidth="1"/>
    <col min="1035" max="1035" width="17.7109375" customWidth="1"/>
    <col min="1281" max="1281" width="65.140625" customWidth="1"/>
    <col min="1282" max="1282" width="28.42578125" customWidth="1"/>
    <col min="1283" max="1286" width="17.7109375" customWidth="1"/>
    <col min="1287" max="1287" width="19.42578125" customWidth="1"/>
    <col min="1288" max="1289" width="17.7109375" customWidth="1"/>
    <col min="1290" max="1290" width="27" customWidth="1"/>
    <col min="1291" max="1291" width="17.7109375" customWidth="1"/>
    <col min="1537" max="1537" width="65.140625" customWidth="1"/>
    <col min="1538" max="1538" width="28.42578125" customWidth="1"/>
    <col min="1539" max="1542" width="17.7109375" customWidth="1"/>
    <col min="1543" max="1543" width="19.42578125" customWidth="1"/>
    <col min="1544" max="1545" width="17.7109375" customWidth="1"/>
    <col min="1546" max="1546" width="27" customWidth="1"/>
    <col min="1547" max="1547" width="17.7109375" customWidth="1"/>
    <col min="1793" max="1793" width="65.140625" customWidth="1"/>
    <col min="1794" max="1794" width="28.42578125" customWidth="1"/>
    <col min="1795" max="1798" width="17.7109375" customWidth="1"/>
    <col min="1799" max="1799" width="19.42578125" customWidth="1"/>
    <col min="1800" max="1801" width="17.7109375" customWidth="1"/>
    <col min="1802" max="1802" width="27" customWidth="1"/>
    <col min="1803" max="1803" width="17.7109375" customWidth="1"/>
    <col min="2049" max="2049" width="65.140625" customWidth="1"/>
    <col min="2050" max="2050" width="28.42578125" customWidth="1"/>
    <col min="2051" max="2054" width="17.7109375" customWidth="1"/>
    <col min="2055" max="2055" width="19.42578125" customWidth="1"/>
    <col min="2056" max="2057" width="17.7109375" customWidth="1"/>
    <col min="2058" max="2058" width="27" customWidth="1"/>
    <col min="2059" max="2059" width="17.7109375" customWidth="1"/>
    <col min="2305" max="2305" width="65.140625" customWidth="1"/>
    <col min="2306" max="2306" width="28.42578125" customWidth="1"/>
    <col min="2307" max="2310" width="17.7109375" customWidth="1"/>
    <col min="2311" max="2311" width="19.42578125" customWidth="1"/>
    <col min="2312" max="2313" width="17.7109375" customWidth="1"/>
    <col min="2314" max="2314" width="27" customWidth="1"/>
    <col min="2315" max="2315" width="17.7109375" customWidth="1"/>
    <col min="2561" max="2561" width="65.140625" customWidth="1"/>
    <col min="2562" max="2562" width="28.42578125" customWidth="1"/>
    <col min="2563" max="2566" width="17.7109375" customWidth="1"/>
    <col min="2567" max="2567" width="19.42578125" customWidth="1"/>
    <col min="2568" max="2569" width="17.7109375" customWidth="1"/>
    <col min="2570" max="2570" width="27" customWidth="1"/>
    <col min="2571" max="2571" width="17.7109375" customWidth="1"/>
    <col min="2817" max="2817" width="65.140625" customWidth="1"/>
    <col min="2818" max="2818" width="28.42578125" customWidth="1"/>
    <col min="2819" max="2822" width="17.7109375" customWidth="1"/>
    <col min="2823" max="2823" width="19.42578125" customWidth="1"/>
    <col min="2824" max="2825" width="17.7109375" customWidth="1"/>
    <col min="2826" max="2826" width="27" customWidth="1"/>
    <col min="2827" max="2827" width="17.7109375" customWidth="1"/>
    <col min="3073" max="3073" width="65.140625" customWidth="1"/>
    <col min="3074" max="3074" width="28.42578125" customWidth="1"/>
    <col min="3075" max="3078" width="17.7109375" customWidth="1"/>
    <col min="3079" max="3079" width="19.42578125" customWidth="1"/>
    <col min="3080" max="3081" width="17.7109375" customWidth="1"/>
    <col min="3082" max="3082" width="27" customWidth="1"/>
    <col min="3083" max="3083" width="17.7109375" customWidth="1"/>
    <col min="3329" max="3329" width="65.140625" customWidth="1"/>
    <col min="3330" max="3330" width="28.42578125" customWidth="1"/>
    <col min="3331" max="3334" width="17.7109375" customWidth="1"/>
    <col min="3335" max="3335" width="19.42578125" customWidth="1"/>
    <col min="3336" max="3337" width="17.7109375" customWidth="1"/>
    <col min="3338" max="3338" width="27" customWidth="1"/>
    <col min="3339" max="3339" width="17.7109375" customWidth="1"/>
    <col min="3585" max="3585" width="65.140625" customWidth="1"/>
    <col min="3586" max="3586" width="28.42578125" customWidth="1"/>
    <col min="3587" max="3590" width="17.7109375" customWidth="1"/>
    <col min="3591" max="3591" width="19.42578125" customWidth="1"/>
    <col min="3592" max="3593" width="17.7109375" customWidth="1"/>
    <col min="3594" max="3594" width="27" customWidth="1"/>
    <col min="3595" max="3595" width="17.7109375" customWidth="1"/>
    <col min="3841" max="3841" width="65.140625" customWidth="1"/>
    <col min="3842" max="3842" width="28.42578125" customWidth="1"/>
    <col min="3843" max="3846" width="17.7109375" customWidth="1"/>
    <col min="3847" max="3847" width="19.42578125" customWidth="1"/>
    <col min="3848" max="3849" width="17.7109375" customWidth="1"/>
    <col min="3850" max="3850" width="27" customWidth="1"/>
    <col min="3851" max="3851" width="17.7109375" customWidth="1"/>
    <col min="4097" max="4097" width="65.140625" customWidth="1"/>
    <col min="4098" max="4098" width="28.42578125" customWidth="1"/>
    <col min="4099" max="4102" width="17.7109375" customWidth="1"/>
    <col min="4103" max="4103" width="19.42578125" customWidth="1"/>
    <col min="4104" max="4105" width="17.7109375" customWidth="1"/>
    <col min="4106" max="4106" width="27" customWidth="1"/>
    <col min="4107" max="4107" width="17.7109375" customWidth="1"/>
    <col min="4353" max="4353" width="65.140625" customWidth="1"/>
    <col min="4354" max="4354" width="28.42578125" customWidth="1"/>
    <col min="4355" max="4358" width="17.7109375" customWidth="1"/>
    <col min="4359" max="4359" width="19.42578125" customWidth="1"/>
    <col min="4360" max="4361" width="17.7109375" customWidth="1"/>
    <col min="4362" max="4362" width="27" customWidth="1"/>
    <col min="4363" max="4363" width="17.7109375" customWidth="1"/>
    <col min="4609" max="4609" width="65.140625" customWidth="1"/>
    <col min="4610" max="4610" width="28.42578125" customWidth="1"/>
    <col min="4611" max="4614" width="17.7109375" customWidth="1"/>
    <col min="4615" max="4615" width="19.42578125" customWidth="1"/>
    <col min="4616" max="4617" width="17.7109375" customWidth="1"/>
    <col min="4618" max="4618" width="27" customWidth="1"/>
    <col min="4619" max="4619" width="17.7109375" customWidth="1"/>
    <col min="4865" max="4865" width="65.140625" customWidth="1"/>
    <col min="4866" max="4866" width="28.42578125" customWidth="1"/>
    <col min="4867" max="4870" width="17.7109375" customWidth="1"/>
    <col min="4871" max="4871" width="19.42578125" customWidth="1"/>
    <col min="4872" max="4873" width="17.7109375" customWidth="1"/>
    <col min="4874" max="4874" width="27" customWidth="1"/>
    <col min="4875" max="4875" width="17.7109375" customWidth="1"/>
    <col min="5121" max="5121" width="65.140625" customWidth="1"/>
    <col min="5122" max="5122" width="28.42578125" customWidth="1"/>
    <col min="5123" max="5126" width="17.7109375" customWidth="1"/>
    <col min="5127" max="5127" width="19.42578125" customWidth="1"/>
    <col min="5128" max="5129" width="17.7109375" customWidth="1"/>
    <col min="5130" max="5130" width="27" customWidth="1"/>
    <col min="5131" max="5131" width="17.7109375" customWidth="1"/>
    <col min="5377" max="5377" width="65.140625" customWidth="1"/>
    <col min="5378" max="5378" width="28.42578125" customWidth="1"/>
    <col min="5379" max="5382" width="17.7109375" customWidth="1"/>
    <col min="5383" max="5383" width="19.42578125" customWidth="1"/>
    <col min="5384" max="5385" width="17.7109375" customWidth="1"/>
    <col min="5386" max="5386" width="27" customWidth="1"/>
    <col min="5387" max="5387" width="17.7109375" customWidth="1"/>
    <col min="5633" max="5633" width="65.140625" customWidth="1"/>
    <col min="5634" max="5634" width="28.42578125" customWidth="1"/>
    <col min="5635" max="5638" width="17.7109375" customWidth="1"/>
    <col min="5639" max="5639" width="19.42578125" customWidth="1"/>
    <col min="5640" max="5641" width="17.7109375" customWidth="1"/>
    <col min="5642" max="5642" width="27" customWidth="1"/>
    <col min="5643" max="5643" width="17.7109375" customWidth="1"/>
    <col min="5889" max="5889" width="65.140625" customWidth="1"/>
    <col min="5890" max="5890" width="28.42578125" customWidth="1"/>
    <col min="5891" max="5894" width="17.7109375" customWidth="1"/>
    <col min="5895" max="5895" width="19.42578125" customWidth="1"/>
    <col min="5896" max="5897" width="17.7109375" customWidth="1"/>
    <col min="5898" max="5898" width="27" customWidth="1"/>
    <col min="5899" max="5899" width="17.7109375" customWidth="1"/>
    <col min="6145" max="6145" width="65.140625" customWidth="1"/>
    <col min="6146" max="6146" width="28.42578125" customWidth="1"/>
    <col min="6147" max="6150" width="17.7109375" customWidth="1"/>
    <col min="6151" max="6151" width="19.42578125" customWidth="1"/>
    <col min="6152" max="6153" width="17.7109375" customWidth="1"/>
    <col min="6154" max="6154" width="27" customWidth="1"/>
    <col min="6155" max="6155" width="17.7109375" customWidth="1"/>
    <col min="6401" max="6401" width="65.140625" customWidth="1"/>
    <col min="6402" max="6402" width="28.42578125" customWidth="1"/>
    <col min="6403" max="6406" width="17.7109375" customWidth="1"/>
    <col min="6407" max="6407" width="19.42578125" customWidth="1"/>
    <col min="6408" max="6409" width="17.7109375" customWidth="1"/>
    <col min="6410" max="6410" width="27" customWidth="1"/>
    <col min="6411" max="6411" width="17.7109375" customWidth="1"/>
    <col min="6657" max="6657" width="65.140625" customWidth="1"/>
    <col min="6658" max="6658" width="28.42578125" customWidth="1"/>
    <col min="6659" max="6662" width="17.7109375" customWidth="1"/>
    <col min="6663" max="6663" width="19.42578125" customWidth="1"/>
    <col min="6664" max="6665" width="17.7109375" customWidth="1"/>
    <col min="6666" max="6666" width="27" customWidth="1"/>
    <col min="6667" max="6667" width="17.7109375" customWidth="1"/>
    <col min="6913" max="6913" width="65.140625" customWidth="1"/>
    <col min="6914" max="6914" width="28.42578125" customWidth="1"/>
    <col min="6915" max="6918" width="17.7109375" customWidth="1"/>
    <col min="6919" max="6919" width="19.42578125" customWidth="1"/>
    <col min="6920" max="6921" width="17.7109375" customWidth="1"/>
    <col min="6922" max="6922" width="27" customWidth="1"/>
    <col min="6923" max="6923" width="17.7109375" customWidth="1"/>
    <col min="7169" max="7169" width="65.140625" customWidth="1"/>
    <col min="7170" max="7170" width="28.42578125" customWidth="1"/>
    <col min="7171" max="7174" width="17.7109375" customWidth="1"/>
    <col min="7175" max="7175" width="19.42578125" customWidth="1"/>
    <col min="7176" max="7177" width="17.7109375" customWidth="1"/>
    <col min="7178" max="7178" width="27" customWidth="1"/>
    <col min="7179" max="7179" width="17.7109375" customWidth="1"/>
    <col min="7425" max="7425" width="65.140625" customWidth="1"/>
    <col min="7426" max="7426" width="28.42578125" customWidth="1"/>
    <col min="7427" max="7430" width="17.7109375" customWidth="1"/>
    <col min="7431" max="7431" width="19.42578125" customWidth="1"/>
    <col min="7432" max="7433" width="17.7109375" customWidth="1"/>
    <col min="7434" max="7434" width="27" customWidth="1"/>
    <col min="7435" max="7435" width="17.7109375" customWidth="1"/>
    <col min="7681" max="7681" width="65.140625" customWidth="1"/>
    <col min="7682" max="7682" width="28.42578125" customWidth="1"/>
    <col min="7683" max="7686" width="17.7109375" customWidth="1"/>
    <col min="7687" max="7687" width="19.42578125" customWidth="1"/>
    <col min="7688" max="7689" width="17.7109375" customWidth="1"/>
    <col min="7690" max="7690" width="27" customWidth="1"/>
    <col min="7691" max="7691" width="17.7109375" customWidth="1"/>
    <col min="7937" max="7937" width="65.140625" customWidth="1"/>
    <col min="7938" max="7938" width="28.42578125" customWidth="1"/>
    <col min="7939" max="7942" width="17.7109375" customWidth="1"/>
    <col min="7943" max="7943" width="19.42578125" customWidth="1"/>
    <col min="7944" max="7945" width="17.7109375" customWidth="1"/>
    <col min="7946" max="7946" width="27" customWidth="1"/>
    <col min="7947" max="7947" width="17.7109375" customWidth="1"/>
    <col min="8193" max="8193" width="65.140625" customWidth="1"/>
    <col min="8194" max="8194" width="28.42578125" customWidth="1"/>
    <col min="8195" max="8198" width="17.7109375" customWidth="1"/>
    <col min="8199" max="8199" width="19.42578125" customWidth="1"/>
    <col min="8200" max="8201" width="17.7109375" customWidth="1"/>
    <col min="8202" max="8202" width="27" customWidth="1"/>
    <col min="8203" max="8203" width="17.7109375" customWidth="1"/>
    <col min="8449" max="8449" width="65.140625" customWidth="1"/>
    <col min="8450" max="8450" width="28.42578125" customWidth="1"/>
    <col min="8451" max="8454" width="17.7109375" customWidth="1"/>
    <col min="8455" max="8455" width="19.42578125" customWidth="1"/>
    <col min="8456" max="8457" width="17.7109375" customWidth="1"/>
    <col min="8458" max="8458" width="27" customWidth="1"/>
    <col min="8459" max="8459" width="17.7109375" customWidth="1"/>
    <col min="8705" max="8705" width="65.140625" customWidth="1"/>
    <col min="8706" max="8706" width="28.42578125" customWidth="1"/>
    <col min="8707" max="8710" width="17.7109375" customWidth="1"/>
    <col min="8711" max="8711" width="19.42578125" customWidth="1"/>
    <col min="8712" max="8713" width="17.7109375" customWidth="1"/>
    <col min="8714" max="8714" width="27" customWidth="1"/>
    <col min="8715" max="8715" width="17.7109375" customWidth="1"/>
    <col min="8961" max="8961" width="65.140625" customWidth="1"/>
    <col min="8962" max="8962" width="28.42578125" customWidth="1"/>
    <col min="8963" max="8966" width="17.7109375" customWidth="1"/>
    <col min="8967" max="8967" width="19.42578125" customWidth="1"/>
    <col min="8968" max="8969" width="17.7109375" customWidth="1"/>
    <col min="8970" max="8970" width="27" customWidth="1"/>
    <col min="8971" max="8971" width="17.7109375" customWidth="1"/>
    <col min="9217" max="9217" width="65.140625" customWidth="1"/>
    <col min="9218" max="9218" width="28.42578125" customWidth="1"/>
    <col min="9219" max="9222" width="17.7109375" customWidth="1"/>
    <col min="9223" max="9223" width="19.42578125" customWidth="1"/>
    <col min="9224" max="9225" width="17.7109375" customWidth="1"/>
    <col min="9226" max="9226" width="27" customWidth="1"/>
    <col min="9227" max="9227" width="17.7109375" customWidth="1"/>
    <col min="9473" max="9473" width="65.140625" customWidth="1"/>
    <col min="9474" max="9474" width="28.42578125" customWidth="1"/>
    <col min="9475" max="9478" width="17.7109375" customWidth="1"/>
    <col min="9479" max="9479" width="19.42578125" customWidth="1"/>
    <col min="9480" max="9481" width="17.7109375" customWidth="1"/>
    <col min="9482" max="9482" width="27" customWidth="1"/>
    <col min="9483" max="9483" width="17.7109375" customWidth="1"/>
    <col min="9729" max="9729" width="65.140625" customWidth="1"/>
    <col min="9730" max="9730" width="28.42578125" customWidth="1"/>
    <col min="9731" max="9734" width="17.7109375" customWidth="1"/>
    <col min="9735" max="9735" width="19.42578125" customWidth="1"/>
    <col min="9736" max="9737" width="17.7109375" customWidth="1"/>
    <col min="9738" max="9738" width="27" customWidth="1"/>
    <col min="9739" max="9739" width="17.7109375" customWidth="1"/>
    <col min="9985" max="9985" width="65.140625" customWidth="1"/>
    <col min="9986" max="9986" width="28.42578125" customWidth="1"/>
    <col min="9987" max="9990" width="17.7109375" customWidth="1"/>
    <col min="9991" max="9991" width="19.42578125" customWidth="1"/>
    <col min="9992" max="9993" width="17.7109375" customWidth="1"/>
    <col min="9994" max="9994" width="27" customWidth="1"/>
    <col min="9995" max="9995" width="17.7109375" customWidth="1"/>
    <col min="10241" max="10241" width="65.140625" customWidth="1"/>
    <col min="10242" max="10242" width="28.42578125" customWidth="1"/>
    <col min="10243" max="10246" width="17.7109375" customWidth="1"/>
    <col min="10247" max="10247" width="19.42578125" customWidth="1"/>
    <col min="10248" max="10249" width="17.7109375" customWidth="1"/>
    <col min="10250" max="10250" width="27" customWidth="1"/>
    <col min="10251" max="10251" width="17.7109375" customWidth="1"/>
    <col min="10497" max="10497" width="65.140625" customWidth="1"/>
    <col min="10498" max="10498" width="28.42578125" customWidth="1"/>
    <col min="10499" max="10502" width="17.7109375" customWidth="1"/>
    <col min="10503" max="10503" width="19.42578125" customWidth="1"/>
    <col min="10504" max="10505" width="17.7109375" customWidth="1"/>
    <col min="10506" max="10506" width="27" customWidth="1"/>
    <col min="10507" max="10507" width="17.7109375" customWidth="1"/>
    <col min="10753" max="10753" width="65.140625" customWidth="1"/>
    <col min="10754" max="10754" width="28.42578125" customWidth="1"/>
    <col min="10755" max="10758" width="17.7109375" customWidth="1"/>
    <col min="10759" max="10759" width="19.42578125" customWidth="1"/>
    <col min="10760" max="10761" width="17.7109375" customWidth="1"/>
    <col min="10762" max="10762" width="27" customWidth="1"/>
    <col min="10763" max="10763" width="17.7109375" customWidth="1"/>
    <col min="11009" max="11009" width="65.140625" customWidth="1"/>
    <col min="11010" max="11010" width="28.42578125" customWidth="1"/>
    <col min="11011" max="11014" width="17.7109375" customWidth="1"/>
    <col min="11015" max="11015" width="19.42578125" customWidth="1"/>
    <col min="11016" max="11017" width="17.7109375" customWidth="1"/>
    <col min="11018" max="11018" width="27" customWidth="1"/>
    <col min="11019" max="11019" width="17.7109375" customWidth="1"/>
    <col min="11265" max="11265" width="65.140625" customWidth="1"/>
    <col min="11266" max="11266" width="28.42578125" customWidth="1"/>
    <col min="11267" max="11270" width="17.7109375" customWidth="1"/>
    <col min="11271" max="11271" width="19.42578125" customWidth="1"/>
    <col min="11272" max="11273" width="17.7109375" customWidth="1"/>
    <col min="11274" max="11274" width="27" customWidth="1"/>
    <col min="11275" max="11275" width="17.7109375" customWidth="1"/>
    <col min="11521" max="11521" width="65.140625" customWidth="1"/>
    <col min="11522" max="11522" width="28.42578125" customWidth="1"/>
    <col min="11523" max="11526" width="17.7109375" customWidth="1"/>
    <col min="11527" max="11527" width="19.42578125" customWidth="1"/>
    <col min="11528" max="11529" width="17.7109375" customWidth="1"/>
    <col min="11530" max="11530" width="27" customWidth="1"/>
    <col min="11531" max="11531" width="17.7109375" customWidth="1"/>
    <col min="11777" max="11777" width="65.140625" customWidth="1"/>
    <col min="11778" max="11778" width="28.42578125" customWidth="1"/>
    <col min="11779" max="11782" width="17.7109375" customWidth="1"/>
    <col min="11783" max="11783" width="19.42578125" customWidth="1"/>
    <col min="11784" max="11785" width="17.7109375" customWidth="1"/>
    <col min="11786" max="11786" width="27" customWidth="1"/>
    <col min="11787" max="11787" width="17.7109375" customWidth="1"/>
    <col min="12033" max="12033" width="65.140625" customWidth="1"/>
    <col min="12034" max="12034" width="28.42578125" customWidth="1"/>
    <col min="12035" max="12038" width="17.7109375" customWidth="1"/>
    <col min="12039" max="12039" width="19.42578125" customWidth="1"/>
    <col min="12040" max="12041" width="17.7109375" customWidth="1"/>
    <col min="12042" max="12042" width="27" customWidth="1"/>
    <col min="12043" max="12043" width="17.7109375" customWidth="1"/>
    <col min="12289" max="12289" width="65.140625" customWidth="1"/>
    <col min="12290" max="12290" width="28.42578125" customWidth="1"/>
    <col min="12291" max="12294" width="17.7109375" customWidth="1"/>
    <col min="12295" max="12295" width="19.42578125" customWidth="1"/>
    <col min="12296" max="12297" width="17.7109375" customWidth="1"/>
    <col min="12298" max="12298" width="27" customWidth="1"/>
    <col min="12299" max="12299" width="17.7109375" customWidth="1"/>
    <col min="12545" max="12545" width="65.140625" customWidth="1"/>
    <col min="12546" max="12546" width="28.42578125" customWidth="1"/>
    <col min="12547" max="12550" width="17.7109375" customWidth="1"/>
    <col min="12551" max="12551" width="19.42578125" customWidth="1"/>
    <col min="12552" max="12553" width="17.7109375" customWidth="1"/>
    <col min="12554" max="12554" width="27" customWidth="1"/>
    <col min="12555" max="12555" width="17.7109375" customWidth="1"/>
    <col min="12801" max="12801" width="65.140625" customWidth="1"/>
    <col min="12802" max="12802" width="28.42578125" customWidth="1"/>
    <col min="12803" max="12806" width="17.7109375" customWidth="1"/>
    <col min="12807" max="12807" width="19.42578125" customWidth="1"/>
    <col min="12808" max="12809" width="17.7109375" customWidth="1"/>
    <col min="12810" max="12810" width="27" customWidth="1"/>
    <col min="12811" max="12811" width="17.7109375" customWidth="1"/>
    <col min="13057" max="13057" width="65.140625" customWidth="1"/>
    <col min="13058" max="13058" width="28.42578125" customWidth="1"/>
    <col min="13059" max="13062" width="17.7109375" customWidth="1"/>
    <col min="13063" max="13063" width="19.42578125" customWidth="1"/>
    <col min="13064" max="13065" width="17.7109375" customWidth="1"/>
    <col min="13066" max="13066" width="27" customWidth="1"/>
    <col min="13067" max="13067" width="17.7109375" customWidth="1"/>
    <col min="13313" max="13313" width="65.140625" customWidth="1"/>
    <col min="13314" max="13314" width="28.42578125" customWidth="1"/>
    <col min="13315" max="13318" width="17.7109375" customWidth="1"/>
    <col min="13319" max="13319" width="19.42578125" customWidth="1"/>
    <col min="13320" max="13321" width="17.7109375" customWidth="1"/>
    <col min="13322" max="13322" width="27" customWidth="1"/>
    <col min="13323" max="13323" width="17.7109375" customWidth="1"/>
    <col min="13569" max="13569" width="65.140625" customWidth="1"/>
    <col min="13570" max="13570" width="28.42578125" customWidth="1"/>
    <col min="13571" max="13574" width="17.7109375" customWidth="1"/>
    <col min="13575" max="13575" width="19.42578125" customWidth="1"/>
    <col min="13576" max="13577" width="17.7109375" customWidth="1"/>
    <col min="13578" max="13578" width="27" customWidth="1"/>
    <col min="13579" max="13579" width="17.7109375" customWidth="1"/>
    <col min="13825" max="13825" width="65.140625" customWidth="1"/>
    <col min="13826" max="13826" width="28.42578125" customWidth="1"/>
    <col min="13827" max="13830" width="17.7109375" customWidth="1"/>
    <col min="13831" max="13831" width="19.42578125" customWidth="1"/>
    <col min="13832" max="13833" width="17.7109375" customWidth="1"/>
    <col min="13834" max="13834" width="27" customWidth="1"/>
    <col min="13835" max="13835" width="17.7109375" customWidth="1"/>
    <col min="14081" max="14081" width="65.140625" customWidth="1"/>
    <col min="14082" max="14082" width="28.42578125" customWidth="1"/>
    <col min="14083" max="14086" width="17.7109375" customWidth="1"/>
    <col min="14087" max="14087" width="19.42578125" customWidth="1"/>
    <col min="14088" max="14089" width="17.7109375" customWidth="1"/>
    <col min="14090" max="14090" width="27" customWidth="1"/>
    <col min="14091" max="14091" width="17.7109375" customWidth="1"/>
    <col min="14337" max="14337" width="65.140625" customWidth="1"/>
    <col min="14338" max="14338" width="28.42578125" customWidth="1"/>
    <col min="14339" max="14342" width="17.7109375" customWidth="1"/>
    <col min="14343" max="14343" width="19.42578125" customWidth="1"/>
    <col min="14344" max="14345" width="17.7109375" customWidth="1"/>
    <col min="14346" max="14346" width="27" customWidth="1"/>
    <col min="14347" max="14347" width="17.7109375" customWidth="1"/>
    <col min="14593" max="14593" width="65.140625" customWidth="1"/>
    <col min="14594" max="14594" width="28.42578125" customWidth="1"/>
    <col min="14595" max="14598" width="17.7109375" customWidth="1"/>
    <col min="14599" max="14599" width="19.42578125" customWidth="1"/>
    <col min="14600" max="14601" width="17.7109375" customWidth="1"/>
    <col min="14602" max="14602" width="27" customWidth="1"/>
    <col min="14603" max="14603" width="17.7109375" customWidth="1"/>
    <col min="14849" max="14849" width="65.140625" customWidth="1"/>
    <col min="14850" max="14850" width="28.42578125" customWidth="1"/>
    <col min="14851" max="14854" width="17.7109375" customWidth="1"/>
    <col min="14855" max="14855" width="19.42578125" customWidth="1"/>
    <col min="14856" max="14857" width="17.7109375" customWidth="1"/>
    <col min="14858" max="14858" width="27" customWidth="1"/>
    <col min="14859" max="14859" width="17.7109375" customWidth="1"/>
    <col min="15105" max="15105" width="65.140625" customWidth="1"/>
    <col min="15106" max="15106" width="28.42578125" customWidth="1"/>
    <col min="15107" max="15110" width="17.7109375" customWidth="1"/>
    <col min="15111" max="15111" width="19.42578125" customWidth="1"/>
    <col min="15112" max="15113" width="17.7109375" customWidth="1"/>
    <col min="15114" max="15114" width="27" customWidth="1"/>
    <col min="15115" max="15115" width="17.7109375" customWidth="1"/>
    <col min="15361" max="15361" width="65.140625" customWidth="1"/>
    <col min="15362" max="15362" width="28.42578125" customWidth="1"/>
    <col min="15363" max="15366" width="17.7109375" customWidth="1"/>
    <col min="15367" max="15367" width="19.42578125" customWidth="1"/>
    <col min="15368" max="15369" width="17.7109375" customWidth="1"/>
    <col min="15370" max="15370" width="27" customWidth="1"/>
    <col min="15371" max="15371" width="17.7109375" customWidth="1"/>
    <col min="15617" max="15617" width="65.140625" customWidth="1"/>
    <col min="15618" max="15618" width="28.42578125" customWidth="1"/>
    <col min="15619" max="15622" width="17.7109375" customWidth="1"/>
    <col min="15623" max="15623" width="19.42578125" customWidth="1"/>
    <col min="15624" max="15625" width="17.7109375" customWidth="1"/>
    <col min="15626" max="15626" width="27" customWidth="1"/>
    <col min="15627" max="15627" width="17.7109375" customWidth="1"/>
    <col min="15873" max="15873" width="65.140625" customWidth="1"/>
    <col min="15874" max="15874" width="28.42578125" customWidth="1"/>
    <col min="15875" max="15878" width="17.7109375" customWidth="1"/>
    <col min="15879" max="15879" width="19.42578125" customWidth="1"/>
    <col min="15880" max="15881" width="17.7109375" customWidth="1"/>
    <col min="15882" max="15882" width="27" customWidth="1"/>
    <col min="15883" max="15883" width="17.7109375" customWidth="1"/>
    <col min="16129" max="16129" width="65.140625" customWidth="1"/>
    <col min="16130" max="16130" width="28.42578125" customWidth="1"/>
    <col min="16131" max="16134" width="17.7109375" customWidth="1"/>
    <col min="16135" max="16135" width="19.42578125" customWidth="1"/>
    <col min="16136" max="16137" width="17.7109375" customWidth="1"/>
    <col min="16138" max="16138" width="27" customWidth="1"/>
    <col min="16139" max="16139" width="17.7109375" customWidth="1"/>
  </cols>
  <sheetData>
    <row r="1" spans="1:11" s="177" customFormat="1" ht="21" customHeight="1">
      <c r="A1" s="175" t="s">
        <v>235</v>
      </c>
      <c r="B1" s="176"/>
    </row>
    <row r="2" spans="1:11" s="177" customFormat="1" ht="19.5" customHeight="1">
      <c r="A2" s="178" t="s">
        <v>612</v>
      </c>
      <c r="B2" s="176"/>
      <c r="C2" s="179"/>
      <c r="D2" s="179"/>
      <c r="E2" s="179"/>
      <c r="F2" s="179"/>
      <c r="G2" s="179"/>
      <c r="H2" s="179"/>
      <c r="I2" s="179"/>
      <c r="J2" s="179"/>
      <c r="K2" s="180" t="s">
        <v>234</v>
      </c>
    </row>
    <row r="3" spans="1:11" s="177" customFormat="1" ht="22.5" customHeight="1">
      <c r="A3" s="181" t="s">
        <v>238</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ht="21.75" hidden="1" customHeight="1">
      <c r="A6" s="413" t="s">
        <v>613</v>
      </c>
      <c r="B6" s="414"/>
      <c r="C6" s="414"/>
      <c r="D6" s="414"/>
      <c r="E6" s="179"/>
      <c r="F6" s="179"/>
      <c r="G6" s="179"/>
      <c r="H6" s="179"/>
      <c r="I6" s="179"/>
      <c r="J6" s="179"/>
      <c r="K6" s="179"/>
    </row>
    <row r="7" spans="1:11" s="177" customFormat="1" ht="21.75" hidden="1" customHeight="1">
      <c r="A7" s="179"/>
      <c r="B7" s="179"/>
      <c r="C7" s="179"/>
      <c r="D7" s="179"/>
      <c r="E7" s="179"/>
      <c r="F7" s="179"/>
      <c r="G7" s="179"/>
      <c r="H7" s="179"/>
      <c r="I7" s="179"/>
      <c r="J7" s="179"/>
      <c r="K7" s="179"/>
    </row>
    <row r="8" spans="1:11" s="177" customFormat="1" ht="21.75" hidden="1" customHeight="1">
      <c r="A8" s="415" t="s">
        <v>614</v>
      </c>
      <c r="B8" s="415" t="s">
        <v>615</v>
      </c>
      <c r="C8" s="179"/>
      <c r="D8" s="179"/>
      <c r="E8" s="179"/>
      <c r="F8" s="179"/>
      <c r="G8" s="179"/>
      <c r="H8" s="179"/>
      <c r="I8" s="179"/>
      <c r="J8" s="179"/>
      <c r="K8" s="179"/>
    </row>
    <row r="9" spans="1:11" s="177" customFormat="1" ht="36.75" hidden="1" customHeight="1">
      <c r="A9" s="1388" t="s">
        <v>616</v>
      </c>
      <c r="B9" s="1389"/>
      <c r="C9" s="1389"/>
      <c r="D9" s="1389"/>
      <c r="E9" s="1389"/>
      <c r="F9" s="1389"/>
      <c r="G9" s="179"/>
      <c r="H9" s="179"/>
      <c r="I9" s="179"/>
      <c r="J9" s="179"/>
      <c r="K9" s="179"/>
    </row>
    <row r="10" spans="1:11" s="177" customFormat="1" ht="20.25" hidden="1" customHeight="1">
      <c r="A10" s="415" t="s">
        <v>617</v>
      </c>
      <c r="B10" s="176"/>
      <c r="C10" s="176"/>
      <c r="D10" s="176"/>
      <c r="E10" s="176"/>
      <c r="F10" s="176"/>
      <c r="G10" s="179"/>
      <c r="H10" s="179"/>
      <c r="I10" s="179"/>
      <c r="J10" s="179"/>
      <c r="K10" s="179"/>
    </row>
    <row r="11" spans="1:11" s="177" customFormat="1" ht="22.5" hidden="1" customHeight="1">
      <c r="A11" s="415" t="s">
        <v>618</v>
      </c>
      <c r="B11" s="416"/>
      <c r="C11" s="416"/>
      <c r="D11" s="416"/>
      <c r="E11" s="416"/>
      <c r="F11" s="416"/>
    </row>
    <row r="12" spans="1:11" s="177" customFormat="1" ht="23.25" hidden="1" customHeight="1">
      <c r="A12" s="415" t="s">
        <v>619</v>
      </c>
      <c r="B12" s="416"/>
      <c r="C12" s="416"/>
      <c r="D12" s="417"/>
      <c r="E12" s="1390"/>
      <c r="F12" s="1390"/>
      <c r="G12" s="248"/>
      <c r="H12" s="1391"/>
      <c r="I12" s="1391"/>
      <c r="K12" s="249"/>
    </row>
    <row r="13" spans="1:11" s="177" customFormat="1" ht="18.75" customHeight="1">
      <c r="A13" s="415"/>
      <c r="B13" s="416"/>
      <c r="C13" s="416"/>
      <c r="D13" s="417"/>
      <c r="E13" s="417"/>
      <c r="F13" s="417"/>
      <c r="G13" s="248"/>
      <c r="H13" s="249"/>
      <c r="I13" s="249"/>
      <c r="K13" s="249"/>
    </row>
    <row r="14" spans="1:11" s="177" customFormat="1" ht="18.75" customHeight="1">
      <c r="A14" s="248"/>
      <c r="D14" s="249"/>
      <c r="E14" s="249"/>
      <c r="F14" s="249"/>
      <c r="G14" s="248"/>
      <c r="H14" s="249"/>
      <c r="I14" s="249"/>
      <c r="K14" s="249"/>
    </row>
    <row r="15" spans="1:11" s="177" customFormat="1">
      <c r="A15" s="182" t="s">
        <v>228</v>
      </c>
      <c r="B15" s="182" t="s">
        <v>227</v>
      </c>
      <c r="C15" s="182" t="s">
        <v>226</v>
      </c>
      <c r="D15" s="182"/>
      <c r="E15" s="183" t="s">
        <v>225</v>
      </c>
      <c r="F15" s="183"/>
      <c r="G15" s="182" t="s">
        <v>224</v>
      </c>
      <c r="H15" s="1381" t="s">
        <v>223</v>
      </c>
      <c r="I15" s="1381"/>
      <c r="J15" s="182" t="s">
        <v>222</v>
      </c>
      <c r="K15" s="182" t="s">
        <v>221</v>
      </c>
    </row>
    <row r="16" spans="1:11" s="186" customFormat="1">
      <c r="A16" s="1382" t="s">
        <v>220</v>
      </c>
      <c r="B16" s="1379" t="s">
        <v>219</v>
      </c>
      <c r="C16" s="1379" t="s">
        <v>218</v>
      </c>
      <c r="D16" s="1379" t="s">
        <v>217</v>
      </c>
      <c r="E16" s="1379" t="s">
        <v>216</v>
      </c>
      <c r="F16" s="1379"/>
      <c r="G16" s="1379" t="s">
        <v>215</v>
      </c>
      <c r="H16" s="1379" t="s">
        <v>214</v>
      </c>
      <c r="I16" s="1379"/>
      <c r="J16" s="1379" t="s">
        <v>240</v>
      </c>
      <c r="K16" s="1380" t="s">
        <v>212</v>
      </c>
    </row>
    <row r="17" spans="1:11" s="186" customFormat="1">
      <c r="A17" s="1382"/>
      <c r="B17" s="1379"/>
      <c r="C17" s="1379"/>
      <c r="D17" s="1379"/>
      <c r="E17" s="187" t="s">
        <v>211</v>
      </c>
      <c r="F17" s="187" t="s">
        <v>210</v>
      </c>
      <c r="G17" s="1379"/>
      <c r="H17" s="187" t="s">
        <v>211</v>
      </c>
      <c r="I17" s="187" t="s">
        <v>210</v>
      </c>
      <c r="J17" s="1379"/>
      <c r="K17" s="1380"/>
    </row>
    <row r="18" spans="1:11" ht="15.95" customHeight="1">
      <c r="A18" s="188" t="s">
        <v>208</v>
      </c>
      <c r="B18" s="189"/>
      <c r="C18" s="189"/>
      <c r="D18" s="189"/>
      <c r="E18" s="189"/>
      <c r="F18" s="189"/>
      <c r="G18" s="189"/>
      <c r="H18" s="189"/>
      <c r="I18" s="189"/>
      <c r="J18" s="189"/>
      <c r="K18" s="190">
        <f>SUM(K19)</f>
        <v>0</v>
      </c>
    </row>
    <row r="19" spans="1:11" ht="19.5" customHeight="1">
      <c r="A19" s="192"/>
      <c r="B19" s="193"/>
      <c r="C19" s="193"/>
      <c r="D19" s="194"/>
      <c r="E19" s="194"/>
      <c r="F19" s="194"/>
      <c r="G19" s="193"/>
      <c r="H19" s="193"/>
      <c r="I19" s="193"/>
      <c r="J19" s="193"/>
      <c r="K19" s="195"/>
    </row>
    <row r="20" spans="1:11" ht="15.95" customHeight="1">
      <c r="A20" s="188" t="s">
        <v>207</v>
      </c>
      <c r="B20" s="189"/>
      <c r="C20" s="189"/>
      <c r="D20" s="196"/>
      <c r="E20" s="194"/>
      <c r="F20" s="194"/>
      <c r="G20" s="189"/>
      <c r="H20" s="189"/>
      <c r="I20" s="189"/>
      <c r="J20" s="189"/>
      <c r="K20" s="190">
        <f>SUM(K21:K30)</f>
        <v>904821.87</v>
      </c>
    </row>
    <row r="21" spans="1:11" ht="15.95" customHeight="1">
      <c r="A21" s="231" t="s">
        <v>620</v>
      </c>
      <c r="B21" s="232" t="s">
        <v>621</v>
      </c>
      <c r="C21" s="232" t="s">
        <v>345</v>
      </c>
      <c r="D21" s="271">
        <v>0.01</v>
      </c>
      <c r="E21" s="420">
        <v>0.01</v>
      </c>
      <c r="F21" s="420">
        <v>0.01</v>
      </c>
      <c r="G21" s="421"/>
      <c r="H21" s="263"/>
      <c r="I21" s="263"/>
      <c r="J21" s="263" t="s">
        <v>622</v>
      </c>
      <c r="K21" s="208">
        <v>434486.87</v>
      </c>
    </row>
    <row r="22" spans="1:11" ht="15.95" customHeight="1">
      <c r="A22" s="231" t="s">
        <v>623</v>
      </c>
      <c r="B22" s="232" t="s">
        <v>624</v>
      </c>
      <c r="C22" s="232" t="s">
        <v>345</v>
      </c>
      <c r="D22" s="271"/>
      <c r="E22" s="271"/>
      <c r="F22" s="271"/>
      <c r="G22" s="421">
        <v>40000</v>
      </c>
      <c r="H22" s="263"/>
      <c r="I22" s="263"/>
      <c r="J22" s="263" t="s">
        <v>625</v>
      </c>
      <c r="K22" s="208">
        <v>200000</v>
      </c>
    </row>
    <row r="23" spans="1:11" ht="15.95" customHeight="1">
      <c r="A23" s="231" t="s">
        <v>626</v>
      </c>
      <c r="B23" s="232" t="s">
        <v>627</v>
      </c>
      <c r="C23" s="232" t="s">
        <v>468</v>
      </c>
      <c r="D23" s="271"/>
      <c r="E23" s="271"/>
      <c r="F23" s="271"/>
      <c r="G23" s="421">
        <v>120</v>
      </c>
      <c r="H23" s="263"/>
      <c r="I23" s="263"/>
      <c r="J23" s="263" t="s">
        <v>628</v>
      </c>
      <c r="K23" s="208">
        <v>129700</v>
      </c>
    </row>
    <row r="24" spans="1:11" ht="15.95" customHeight="1">
      <c r="A24" s="231" t="s">
        <v>347</v>
      </c>
      <c r="B24" s="232" t="s">
        <v>629</v>
      </c>
      <c r="C24" s="232" t="s">
        <v>367</v>
      </c>
      <c r="D24" s="271"/>
      <c r="E24" s="271"/>
      <c r="F24" s="271"/>
      <c r="G24" s="421">
        <v>180</v>
      </c>
      <c r="H24" s="263"/>
      <c r="I24" s="263"/>
      <c r="J24" s="263" t="s">
        <v>630</v>
      </c>
      <c r="K24" s="208">
        <v>117235</v>
      </c>
    </row>
    <row r="25" spans="1:11" ht="15.95" customHeight="1">
      <c r="A25" s="231" t="s">
        <v>467</v>
      </c>
      <c r="B25" s="232" t="s">
        <v>627</v>
      </c>
      <c r="C25" s="232" t="s">
        <v>468</v>
      </c>
      <c r="D25" s="271"/>
      <c r="E25" s="271"/>
      <c r="F25" s="271"/>
      <c r="G25" s="421">
        <v>450</v>
      </c>
      <c r="H25" s="263"/>
      <c r="I25" s="263"/>
      <c r="J25" s="263" t="s">
        <v>631</v>
      </c>
      <c r="K25" s="208">
        <v>23400</v>
      </c>
    </row>
    <row r="26" spans="1:11" ht="15.95" customHeight="1">
      <c r="A26" s="231"/>
      <c r="B26" s="232"/>
      <c r="C26" s="232"/>
      <c r="D26" s="271"/>
      <c r="E26" s="271"/>
      <c r="F26" s="271"/>
      <c r="G26" s="421"/>
      <c r="H26" s="263"/>
      <c r="I26" s="263"/>
      <c r="J26" s="263"/>
      <c r="K26" s="208"/>
    </row>
    <row r="27" spans="1:11" ht="15.95" customHeight="1">
      <c r="A27" s="192"/>
      <c r="B27" s="193"/>
      <c r="C27" s="193"/>
      <c r="D27" s="194"/>
      <c r="E27" s="194"/>
      <c r="F27" s="194"/>
      <c r="G27" s="193"/>
      <c r="H27" s="193"/>
      <c r="I27" s="193"/>
      <c r="J27" s="193"/>
      <c r="K27" s="195"/>
    </row>
    <row r="28" spans="1:11" ht="15.95" customHeight="1">
      <c r="A28" s="192"/>
      <c r="B28" s="193"/>
      <c r="C28" s="193"/>
      <c r="D28" s="194"/>
      <c r="E28" s="194"/>
      <c r="F28" s="194"/>
      <c r="G28" s="193"/>
      <c r="H28" s="193"/>
      <c r="I28" s="193"/>
      <c r="J28" s="193"/>
      <c r="K28" s="195"/>
    </row>
    <row r="29" spans="1:11" ht="15.95" customHeight="1">
      <c r="A29" s="192"/>
      <c r="B29" s="193"/>
      <c r="C29" s="193"/>
      <c r="D29" s="194"/>
      <c r="E29" s="194"/>
      <c r="F29" s="194"/>
      <c r="G29" s="193"/>
      <c r="H29" s="193"/>
      <c r="I29" s="193"/>
      <c r="J29" s="193"/>
      <c r="K29" s="195"/>
    </row>
    <row r="30" spans="1:11" ht="15.95" customHeight="1">
      <c r="A30" s="192"/>
      <c r="B30" s="193"/>
      <c r="C30" s="193"/>
      <c r="D30" s="194"/>
      <c r="E30" s="194"/>
      <c r="F30" s="194"/>
      <c r="G30" s="193"/>
      <c r="H30" s="193"/>
      <c r="I30" s="193"/>
      <c r="J30" s="193"/>
      <c r="K30" s="195"/>
    </row>
    <row r="31" spans="1:11" s="177" customFormat="1" ht="15.95" customHeight="1">
      <c r="A31" s="209" t="s">
        <v>191</v>
      </c>
      <c r="B31" s="210"/>
      <c r="C31" s="210"/>
      <c r="D31" s="211"/>
      <c r="E31" s="211"/>
      <c r="F31" s="211"/>
      <c r="G31" s="210"/>
      <c r="H31" s="210"/>
      <c r="I31" s="210"/>
      <c r="J31" s="210"/>
      <c r="K31" s="213">
        <f>SUM(K32:K33)</f>
        <v>0</v>
      </c>
    </row>
    <row r="32" spans="1:11" s="177" customFormat="1" ht="15.95" customHeight="1">
      <c r="A32" s="192"/>
      <c r="B32" s="217"/>
      <c r="C32" s="217"/>
      <c r="D32" s="216"/>
      <c r="E32" s="216"/>
      <c r="F32" s="216"/>
      <c r="G32" s="217"/>
      <c r="H32" s="217"/>
      <c r="I32" s="217"/>
      <c r="J32" s="217"/>
      <c r="K32" s="219"/>
    </row>
    <row r="33" spans="1:11" s="177" customFormat="1" ht="15.95" customHeight="1">
      <c r="A33" s="192"/>
      <c r="B33" s="217"/>
      <c r="C33" s="217"/>
      <c r="D33" s="216"/>
      <c r="E33" s="216"/>
      <c r="F33" s="216"/>
      <c r="G33" s="217"/>
      <c r="H33" s="217"/>
      <c r="I33" s="217"/>
      <c r="J33" s="217"/>
      <c r="K33" s="219"/>
    </row>
    <row r="34" spans="1:11" ht="15.95" customHeight="1">
      <c r="A34" s="188" t="s">
        <v>179</v>
      </c>
      <c r="B34" s="189"/>
      <c r="C34" s="189"/>
      <c r="D34" s="196"/>
      <c r="E34" s="196"/>
      <c r="F34" s="196"/>
      <c r="G34" s="189"/>
      <c r="H34" s="189"/>
      <c r="I34" s="189"/>
      <c r="J34" s="189"/>
      <c r="K34" s="190">
        <f>SUM(K35:K41)</f>
        <v>0</v>
      </c>
    </row>
    <row r="35" spans="1:11" ht="15.95" customHeight="1">
      <c r="A35" s="192"/>
      <c r="B35" s="193"/>
      <c r="C35" s="193"/>
      <c r="D35" s="194"/>
      <c r="E35" s="194"/>
      <c r="F35" s="194"/>
      <c r="G35" s="193"/>
      <c r="H35" s="193"/>
      <c r="I35" s="193"/>
      <c r="J35" s="193"/>
      <c r="K35" s="195"/>
    </row>
    <row r="36" spans="1:11" ht="15.95" customHeight="1">
      <c r="A36" s="192"/>
      <c r="B36" s="193"/>
      <c r="C36" s="193"/>
      <c r="D36" s="194"/>
      <c r="E36" s="194"/>
      <c r="F36" s="194"/>
      <c r="G36" s="193"/>
      <c r="H36" s="193"/>
      <c r="I36" s="193"/>
      <c r="J36" s="193"/>
      <c r="K36" s="195"/>
    </row>
    <row r="37" spans="1:11" ht="15.95" customHeight="1">
      <c r="A37" s="192"/>
      <c r="B37" s="193"/>
      <c r="C37" s="193"/>
      <c r="D37" s="194"/>
      <c r="E37" s="194"/>
      <c r="F37" s="194"/>
      <c r="G37" s="193"/>
      <c r="H37" s="193"/>
      <c r="I37" s="193"/>
      <c r="J37" s="193"/>
      <c r="K37" s="195"/>
    </row>
    <row r="38" spans="1:11" ht="15.95" customHeight="1">
      <c r="A38" s="192"/>
      <c r="B38" s="193"/>
      <c r="C38" s="193"/>
      <c r="D38" s="194"/>
      <c r="E38" s="194"/>
      <c r="F38" s="194"/>
      <c r="G38" s="193"/>
      <c r="H38" s="193"/>
      <c r="I38" s="193"/>
      <c r="J38" s="193"/>
      <c r="K38" s="195"/>
    </row>
    <row r="39" spans="1:11" ht="15.95" customHeight="1">
      <c r="A39" s="192"/>
      <c r="B39" s="193"/>
      <c r="C39" s="193"/>
      <c r="D39" s="194"/>
      <c r="E39" s="194"/>
      <c r="F39" s="194"/>
      <c r="G39" s="193"/>
      <c r="H39" s="193"/>
      <c r="I39" s="193"/>
      <c r="J39" s="193"/>
      <c r="K39" s="195"/>
    </row>
    <row r="40" spans="1:11" ht="15.95" customHeight="1">
      <c r="A40" s="192"/>
      <c r="B40" s="193"/>
      <c r="C40" s="193"/>
      <c r="D40" s="194"/>
      <c r="E40" s="194"/>
      <c r="F40" s="194"/>
      <c r="G40" s="193"/>
      <c r="H40" s="193"/>
      <c r="I40" s="193"/>
      <c r="J40" s="193"/>
      <c r="K40" s="195"/>
    </row>
    <row r="41" spans="1:11" ht="15.95" customHeight="1">
      <c r="A41" s="192"/>
      <c r="B41" s="193"/>
      <c r="C41" s="193"/>
      <c r="D41" s="194"/>
      <c r="E41" s="194"/>
      <c r="F41" s="194"/>
      <c r="G41" s="193"/>
      <c r="H41" s="193"/>
      <c r="I41" s="193"/>
      <c r="J41" s="193"/>
      <c r="K41" s="195"/>
    </row>
    <row r="42" spans="1:11" ht="15.95" customHeight="1">
      <c r="A42" s="188" t="s">
        <v>152</v>
      </c>
      <c r="B42" s="189"/>
      <c r="C42" s="189"/>
      <c r="D42" s="196"/>
      <c r="E42" s="196"/>
      <c r="F42" s="196"/>
      <c r="G42" s="189"/>
      <c r="H42" s="189"/>
      <c r="I42" s="189"/>
      <c r="J42" s="189"/>
      <c r="K42" s="190">
        <f>SUM(K43:K45)</f>
        <v>0</v>
      </c>
    </row>
    <row r="43" spans="1:11" ht="15.95" customHeight="1">
      <c r="A43" s="256"/>
      <c r="B43" s="193"/>
      <c r="C43" s="193"/>
      <c r="D43" s="194"/>
      <c r="E43" s="194"/>
      <c r="F43" s="194"/>
      <c r="G43" s="193"/>
      <c r="H43" s="193"/>
      <c r="I43" s="193"/>
      <c r="J43" s="193"/>
      <c r="K43" s="195"/>
    </row>
    <row r="44" spans="1:11" ht="15.95" customHeight="1">
      <c r="A44" s="256"/>
      <c r="B44" s="193"/>
      <c r="C44" s="193"/>
      <c r="D44" s="194"/>
      <c r="E44" s="194"/>
      <c r="F44" s="194"/>
      <c r="G44" s="193"/>
      <c r="H44" s="193"/>
      <c r="I44" s="193"/>
      <c r="J44" s="193"/>
      <c r="K44" s="195"/>
    </row>
    <row r="45" spans="1:11" ht="15.95" customHeight="1">
      <c r="A45" s="256"/>
      <c r="B45" s="193"/>
      <c r="C45" s="193"/>
      <c r="D45" s="194"/>
      <c r="E45" s="194"/>
      <c r="F45" s="194"/>
      <c r="G45" s="193"/>
      <c r="H45" s="193"/>
      <c r="I45" s="193"/>
      <c r="J45" s="193"/>
      <c r="K45" s="195"/>
    </row>
    <row r="46" spans="1:11" ht="15.95" customHeight="1">
      <c r="A46" s="188" t="s">
        <v>151</v>
      </c>
      <c r="B46" s="189"/>
      <c r="C46" s="189"/>
      <c r="D46" s="196"/>
      <c r="E46" s="196"/>
      <c r="F46" s="196"/>
      <c r="G46" s="189"/>
      <c r="H46" s="189"/>
      <c r="I46" s="189"/>
      <c r="J46" s="189"/>
      <c r="K46" s="190">
        <f>SUM(K47:K49)</f>
        <v>11675</v>
      </c>
    </row>
    <row r="47" spans="1:11" ht="15.95" customHeight="1">
      <c r="A47" s="192" t="s">
        <v>632</v>
      </c>
      <c r="B47" s="263"/>
      <c r="C47" s="263"/>
      <c r="D47" s="202"/>
      <c r="E47" s="202"/>
      <c r="F47" s="202"/>
      <c r="G47" s="263"/>
      <c r="H47" s="263"/>
      <c r="I47" s="263"/>
      <c r="J47" s="235" t="s">
        <v>633</v>
      </c>
      <c r="K47" s="208">
        <v>11675</v>
      </c>
    </row>
    <row r="48" spans="1:11" ht="15.95" customHeight="1">
      <c r="A48" s="256"/>
      <c r="B48" s="193"/>
      <c r="C48" s="193"/>
      <c r="D48" s="194"/>
      <c r="E48" s="194"/>
      <c r="F48" s="194"/>
      <c r="G48" s="193"/>
      <c r="H48" s="193"/>
      <c r="I48" s="193"/>
      <c r="J48" s="193"/>
      <c r="K48" s="195"/>
    </row>
    <row r="49" spans="1:11" ht="15.95" customHeight="1">
      <c r="A49" s="256"/>
      <c r="B49" s="193"/>
      <c r="C49" s="193"/>
      <c r="D49" s="194"/>
      <c r="E49" s="194"/>
      <c r="F49" s="194"/>
      <c r="G49" s="193"/>
      <c r="H49" s="193"/>
      <c r="I49" s="193"/>
      <c r="J49" s="193"/>
      <c r="K49" s="195"/>
    </row>
    <row r="50" spans="1:11" s="177" customFormat="1" ht="15.95" customHeight="1">
      <c r="A50" s="209" t="s">
        <v>137</v>
      </c>
      <c r="B50" s="210"/>
      <c r="C50" s="210"/>
      <c r="D50" s="211"/>
      <c r="E50" s="211"/>
      <c r="F50" s="211"/>
      <c r="G50" s="210"/>
      <c r="H50" s="210"/>
      <c r="I50" s="210"/>
      <c r="J50" s="210"/>
      <c r="K50" s="213">
        <f>SUM(K51)</f>
        <v>0</v>
      </c>
    </row>
    <row r="51" spans="1:11" s="177" customFormat="1" ht="15.95" customHeight="1">
      <c r="A51" s="274"/>
      <c r="B51" s="217"/>
      <c r="C51" s="217"/>
      <c r="D51" s="216"/>
      <c r="E51" s="216"/>
      <c r="F51" s="216"/>
      <c r="G51" s="217"/>
      <c r="H51" s="217"/>
      <c r="I51" s="217"/>
      <c r="J51" s="217"/>
      <c r="K51" s="219"/>
    </row>
    <row r="52" spans="1:11" ht="15.95" customHeight="1">
      <c r="A52" s="188" t="s">
        <v>136</v>
      </c>
      <c r="B52" s="189"/>
      <c r="C52" s="189"/>
      <c r="D52" s="196"/>
      <c r="E52" s="196"/>
      <c r="F52" s="196"/>
      <c r="G52" s="189"/>
      <c r="H52" s="189"/>
      <c r="I52" s="189"/>
      <c r="J52" s="189"/>
      <c r="K52" s="190">
        <f>SUM(K59)</f>
        <v>0</v>
      </c>
    </row>
    <row r="53" spans="1:11" s="399" customFormat="1" ht="15.95" customHeight="1">
      <c r="A53" s="192" t="s">
        <v>634</v>
      </c>
      <c r="B53" s="263"/>
      <c r="C53" s="263"/>
      <c r="D53" s="202"/>
      <c r="E53" s="202"/>
      <c r="F53" s="202"/>
      <c r="G53" s="263"/>
      <c r="H53" s="263"/>
      <c r="I53" s="263"/>
      <c r="J53" s="235" t="s">
        <v>635</v>
      </c>
      <c r="K53" s="208">
        <v>300620</v>
      </c>
    </row>
    <row r="54" spans="1:11" s="399" customFormat="1" ht="15.95" customHeight="1">
      <c r="A54" s="192" t="s">
        <v>636</v>
      </c>
      <c r="B54" s="263"/>
      <c r="C54" s="263"/>
      <c r="D54" s="202"/>
      <c r="E54" s="202"/>
      <c r="F54" s="202"/>
      <c r="G54" s="263"/>
      <c r="H54" s="263"/>
      <c r="I54" s="263"/>
      <c r="J54" s="263" t="s">
        <v>637</v>
      </c>
      <c r="K54" s="208">
        <v>9150</v>
      </c>
    </row>
    <row r="55" spans="1:11" s="399" customFormat="1" ht="15.95" customHeight="1">
      <c r="A55" s="192" t="s">
        <v>638</v>
      </c>
      <c r="B55" s="263"/>
      <c r="C55" s="263"/>
      <c r="D55" s="202"/>
      <c r="E55" s="202"/>
      <c r="F55" s="202"/>
      <c r="G55" s="263"/>
      <c r="H55" s="263"/>
      <c r="I55" s="263"/>
      <c r="J55" s="263"/>
      <c r="K55" s="208"/>
    </row>
    <row r="56" spans="1:11" s="399" customFormat="1" ht="15.95" customHeight="1">
      <c r="A56" s="256"/>
      <c r="B56" s="193"/>
      <c r="C56" s="193"/>
      <c r="D56" s="194"/>
      <c r="E56" s="194"/>
      <c r="F56" s="194"/>
      <c r="G56" s="193"/>
      <c r="H56" s="193"/>
      <c r="I56" s="193"/>
      <c r="J56" s="193"/>
      <c r="K56" s="195"/>
    </row>
    <row r="57" spans="1:11" s="399" customFormat="1" ht="15.95" customHeight="1">
      <c r="A57" s="256"/>
      <c r="B57" s="193"/>
      <c r="C57" s="193"/>
      <c r="D57" s="194"/>
      <c r="E57" s="194"/>
      <c r="F57" s="194"/>
      <c r="G57" s="193"/>
      <c r="H57" s="193"/>
      <c r="I57" s="193"/>
      <c r="J57" s="193"/>
      <c r="K57" s="195"/>
    </row>
    <row r="58" spans="1:11" s="399" customFormat="1" ht="15.95" customHeight="1">
      <c r="A58" s="256"/>
      <c r="B58" s="193"/>
      <c r="C58" s="193"/>
      <c r="D58" s="194"/>
      <c r="E58" s="194"/>
      <c r="F58" s="194"/>
      <c r="G58" s="193"/>
      <c r="H58" s="193"/>
      <c r="I58" s="193"/>
      <c r="J58" s="193"/>
      <c r="K58" s="195"/>
    </row>
    <row r="59" spans="1:11" ht="15.95" customHeight="1">
      <c r="A59" s="256"/>
      <c r="B59" s="193"/>
      <c r="C59" s="193"/>
      <c r="D59" s="194"/>
      <c r="E59" s="194"/>
      <c r="F59" s="194"/>
      <c r="G59" s="193"/>
      <c r="H59" s="193"/>
      <c r="I59" s="193"/>
      <c r="J59" s="193"/>
      <c r="K59" s="195"/>
    </row>
    <row r="60" spans="1:11" ht="15.95" customHeight="1">
      <c r="A60" s="241" t="s">
        <v>108</v>
      </c>
      <c r="B60" s="242"/>
      <c r="C60" s="242"/>
      <c r="D60" s="243"/>
      <c r="E60" s="243"/>
      <c r="F60" s="243"/>
      <c r="G60" s="242"/>
      <c r="H60" s="242"/>
      <c r="I60" s="242"/>
      <c r="J60" s="242"/>
      <c r="K60" s="276">
        <f>+K18+K20+K31+K34+K42+K46+K50+K52</f>
        <v>916496.87</v>
      </c>
    </row>
    <row r="61" spans="1:11">
      <c r="A61" s="245"/>
      <c r="B61" s="246"/>
      <c r="C61" s="246"/>
      <c r="D61" s="246"/>
      <c r="E61" s="246"/>
      <c r="F61" s="246"/>
      <c r="G61" s="246"/>
      <c r="H61" s="246"/>
      <c r="I61" s="246"/>
      <c r="J61" s="246"/>
      <c r="K61" s="246"/>
    </row>
    <row r="62" spans="1:11">
      <c r="A62" s="309"/>
    </row>
  </sheetData>
  <mergeCells count="13">
    <mergeCell ref="H16:I16"/>
    <mergeCell ref="J16:J17"/>
    <mergeCell ref="K16:K17"/>
    <mergeCell ref="A9:F9"/>
    <mergeCell ref="E12:F12"/>
    <mergeCell ref="H12:I12"/>
    <mergeCell ref="H15:I15"/>
    <mergeCell ref="A16:A17"/>
    <mergeCell ref="B16:B17"/>
    <mergeCell ref="C16:C17"/>
    <mergeCell ref="D16:D17"/>
    <mergeCell ref="E16:F16"/>
    <mergeCell ref="G16:G17"/>
  </mergeCells>
  <pageMargins left="0.70866141732283472" right="0.70866141732283472" top="0.74803149606299213" bottom="0.74803149606299213" header="0.31496062992125984" footer="0.31496062992125984"/>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K48"/>
  <sheetViews>
    <sheetView showGridLines="0" zoomScaleNormal="100" workbookViewId="0"/>
  </sheetViews>
  <sheetFormatPr baseColWidth="10" defaultRowHeight="15"/>
  <cols>
    <col min="1" max="1" width="65.140625" customWidth="1"/>
    <col min="2" max="6" width="17.7109375" customWidth="1"/>
    <col min="7" max="7" width="19.42578125" customWidth="1"/>
    <col min="8" max="9" width="17.7109375" customWidth="1"/>
    <col min="10" max="10" width="19.28515625" customWidth="1"/>
    <col min="11" max="11" width="17.7109375" customWidth="1"/>
    <col min="257" max="257" width="65.140625" customWidth="1"/>
    <col min="258" max="262" width="17.7109375" customWidth="1"/>
    <col min="263" max="263" width="19.42578125" customWidth="1"/>
    <col min="264" max="265" width="17.7109375" customWidth="1"/>
    <col min="266" max="266" width="19.28515625" customWidth="1"/>
    <col min="267" max="267" width="17.7109375" customWidth="1"/>
    <col min="513" max="513" width="65.140625" customWidth="1"/>
    <col min="514" max="518" width="17.7109375" customWidth="1"/>
    <col min="519" max="519" width="19.42578125" customWidth="1"/>
    <col min="520" max="521" width="17.7109375" customWidth="1"/>
    <col min="522" max="522" width="19.28515625" customWidth="1"/>
    <col min="523" max="523" width="17.7109375" customWidth="1"/>
    <col min="769" max="769" width="65.140625" customWidth="1"/>
    <col min="770" max="774" width="17.7109375" customWidth="1"/>
    <col min="775" max="775" width="19.42578125" customWidth="1"/>
    <col min="776" max="777" width="17.7109375" customWidth="1"/>
    <col min="778" max="778" width="19.28515625" customWidth="1"/>
    <col min="779" max="779" width="17.7109375" customWidth="1"/>
    <col min="1025" max="1025" width="65.140625" customWidth="1"/>
    <col min="1026" max="1030" width="17.7109375" customWidth="1"/>
    <col min="1031" max="1031" width="19.42578125" customWidth="1"/>
    <col min="1032" max="1033" width="17.7109375" customWidth="1"/>
    <col min="1034" max="1034" width="19.28515625" customWidth="1"/>
    <col min="1035" max="1035" width="17.7109375" customWidth="1"/>
    <col min="1281" max="1281" width="65.140625" customWidth="1"/>
    <col min="1282" max="1286" width="17.7109375" customWidth="1"/>
    <col min="1287" max="1287" width="19.42578125" customWidth="1"/>
    <col min="1288" max="1289" width="17.7109375" customWidth="1"/>
    <col min="1290" max="1290" width="19.28515625" customWidth="1"/>
    <col min="1291" max="1291" width="17.7109375" customWidth="1"/>
    <col min="1537" max="1537" width="65.140625" customWidth="1"/>
    <col min="1538" max="1542" width="17.7109375" customWidth="1"/>
    <col min="1543" max="1543" width="19.42578125" customWidth="1"/>
    <col min="1544" max="1545" width="17.7109375" customWidth="1"/>
    <col min="1546" max="1546" width="19.28515625" customWidth="1"/>
    <col min="1547" max="1547" width="17.7109375" customWidth="1"/>
    <col min="1793" max="1793" width="65.140625" customWidth="1"/>
    <col min="1794" max="1798" width="17.7109375" customWidth="1"/>
    <col min="1799" max="1799" width="19.42578125" customWidth="1"/>
    <col min="1800" max="1801" width="17.7109375" customWidth="1"/>
    <col min="1802" max="1802" width="19.28515625" customWidth="1"/>
    <col min="1803" max="1803" width="17.7109375" customWidth="1"/>
    <col min="2049" max="2049" width="65.140625" customWidth="1"/>
    <col min="2050" max="2054" width="17.7109375" customWidth="1"/>
    <col min="2055" max="2055" width="19.42578125" customWidth="1"/>
    <col min="2056" max="2057" width="17.7109375" customWidth="1"/>
    <col min="2058" max="2058" width="19.28515625" customWidth="1"/>
    <col min="2059" max="2059" width="17.7109375" customWidth="1"/>
    <col min="2305" max="2305" width="65.140625" customWidth="1"/>
    <col min="2306" max="2310" width="17.7109375" customWidth="1"/>
    <col min="2311" max="2311" width="19.42578125" customWidth="1"/>
    <col min="2312" max="2313" width="17.7109375" customWidth="1"/>
    <col min="2314" max="2314" width="19.28515625" customWidth="1"/>
    <col min="2315" max="2315" width="17.7109375" customWidth="1"/>
    <col min="2561" max="2561" width="65.140625" customWidth="1"/>
    <col min="2562" max="2566" width="17.7109375" customWidth="1"/>
    <col min="2567" max="2567" width="19.42578125" customWidth="1"/>
    <col min="2568" max="2569" width="17.7109375" customWidth="1"/>
    <col min="2570" max="2570" width="19.28515625" customWidth="1"/>
    <col min="2571" max="2571" width="17.7109375" customWidth="1"/>
    <col min="2817" max="2817" width="65.140625" customWidth="1"/>
    <col min="2818" max="2822" width="17.7109375" customWidth="1"/>
    <col min="2823" max="2823" width="19.42578125" customWidth="1"/>
    <col min="2824" max="2825" width="17.7109375" customWidth="1"/>
    <col min="2826" max="2826" width="19.28515625" customWidth="1"/>
    <col min="2827" max="2827" width="17.7109375" customWidth="1"/>
    <col min="3073" max="3073" width="65.140625" customWidth="1"/>
    <col min="3074" max="3078" width="17.7109375" customWidth="1"/>
    <col min="3079" max="3079" width="19.42578125" customWidth="1"/>
    <col min="3080" max="3081" width="17.7109375" customWidth="1"/>
    <col min="3082" max="3082" width="19.28515625" customWidth="1"/>
    <col min="3083" max="3083" width="17.7109375" customWidth="1"/>
    <col min="3329" max="3329" width="65.140625" customWidth="1"/>
    <col min="3330" max="3334" width="17.7109375" customWidth="1"/>
    <col min="3335" max="3335" width="19.42578125" customWidth="1"/>
    <col min="3336" max="3337" width="17.7109375" customWidth="1"/>
    <col min="3338" max="3338" width="19.28515625" customWidth="1"/>
    <col min="3339" max="3339" width="17.7109375" customWidth="1"/>
    <col min="3585" max="3585" width="65.140625" customWidth="1"/>
    <col min="3586" max="3590" width="17.7109375" customWidth="1"/>
    <col min="3591" max="3591" width="19.42578125" customWidth="1"/>
    <col min="3592" max="3593" width="17.7109375" customWidth="1"/>
    <col min="3594" max="3594" width="19.28515625" customWidth="1"/>
    <col min="3595" max="3595" width="17.7109375" customWidth="1"/>
    <col min="3841" max="3841" width="65.140625" customWidth="1"/>
    <col min="3842" max="3846" width="17.7109375" customWidth="1"/>
    <col min="3847" max="3847" width="19.42578125" customWidth="1"/>
    <col min="3848" max="3849" width="17.7109375" customWidth="1"/>
    <col min="3850" max="3850" width="19.28515625" customWidth="1"/>
    <col min="3851" max="3851" width="17.7109375" customWidth="1"/>
    <col min="4097" max="4097" width="65.140625" customWidth="1"/>
    <col min="4098" max="4102" width="17.7109375" customWidth="1"/>
    <col min="4103" max="4103" width="19.42578125" customWidth="1"/>
    <col min="4104" max="4105" width="17.7109375" customWidth="1"/>
    <col min="4106" max="4106" width="19.28515625" customWidth="1"/>
    <col min="4107" max="4107" width="17.7109375" customWidth="1"/>
    <col min="4353" max="4353" width="65.140625" customWidth="1"/>
    <col min="4354" max="4358" width="17.7109375" customWidth="1"/>
    <col min="4359" max="4359" width="19.42578125" customWidth="1"/>
    <col min="4360" max="4361" width="17.7109375" customWidth="1"/>
    <col min="4362" max="4362" width="19.28515625" customWidth="1"/>
    <col min="4363" max="4363" width="17.7109375" customWidth="1"/>
    <col min="4609" max="4609" width="65.140625" customWidth="1"/>
    <col min="4610" max="4614" width="17.7109375" customWidth="1"/>
    <col min="4615" max="4615" width="19.42578125" customWidth="1"/>
    <col min="4616" max="4617" width="17.7109375" customWidth="1"/>
    <col min="4618" max="4618" width="19.28515625" customWidth="1"/>
    <col min="4619" max="4619" width="17.7109375" customWidth="1"/>
    <col min="4865" max="4865" width="65.140625" customWidth="1"/>
    <col min="4866" max="4870" width="17.7109375" customWidth="1"/>
    <col min="4871" max="4871" width="19.42578125" customWidth="1"/>
    <col min="4872" max="4873" width="17.7109375" customWidth="1"/>
    <col min="4874" max="4874" width="19.28515625" customWidth="1"/>
    <col min="4875" max="4875" width="17.7109375" customWidth="1"/>
    <col min="5121" max="5121" width="65.140625" customWidth="1"/>
    <col min="5122" max="5126" width="17.7109375" customWidth="1"/>
    <col min="5127" max="5127" width="19.42578125" customWidth="1"/>
    <col min="5128" max="5129" width="17.7109375" customWidth="1"/>
    <col min="5130" max="5130" width="19.28515625" customWidth="1"/>
    <col min="5131" max="5131" width="17.7109375" customWidth="1"/>
    <col min="5377" max="5377" width="65.140625" customWidth="1"/>
    <col min="5378" max="5382" width="17.7109375" customWidth="1"/>
    <col min="5383" max="5383" width="19.42578125" customWidth="1"/>
    <col min="5384" max="5385" width="17.7109375" customWidth="1"/>
    <col min="5386" max="5386" width="19.28515625" customWidth="1"/>
    <col min="5387" max="5387" width="17.7109375" customWidth="1"/>
    <col min="5633" max="5633" width="65.140625" customWidth="1"/>
    <col min="5634" max="5638" width="17.7109375" customWidth="1"/>
    <col min="5639" max="5639" width="19.42578125" customWidth="1"/>
    <col min="5640" max="5641" width="17.7109375" customWidth="1"/>
    <col min="5642" max="5642" width="19.28515625" customWidth="1"/>
    <col min="5643" max="5643" width="17.7109375" customWidth="1"/>
    <col min="5889" max="5889" width="65.140625" customWidth="1"/>
    <col min="5890" max="5894" width="17.7109375" customWidth="1"/>
    <col min="5895" max="5895" width="19.42578125" customWidth="1"/>
    <col min="5896" max="5897" width="17.7109375" customWidth="1"/>
    <col min="5898" max="5898" width="19.28515625" customWidth="1"/>
    <col min="5899" max="5899" width="17.7109375" customWidth="1"/>
    <col min="6145" max="6145" width="65.140625" customWidth="1"/>
    <col min="6146" max="6150" width="17.7109375" customWidth="1"/>
    <col min="6151" max="6151" width="19.42578125" customWidth="1"/>
    <col min="6152" max="6153" width="17.7109375" customWidth="1"/>
    <col min="6154" max="6154" width="19.28515625" customWidth="1"/>
    <col min="6155" max="6155" width="17.7109375" customWidth="1"/>
    <col min="6401" max="6401" width="65.140625" customWidth="1"/>
    <col min="6402" max="6406" width="17.7109375" customWidth="1"/>
    <col min="6407" max="6407" width="19.42578125" customWidth="1"/>
    <col min="6408" max="6409" width="17.7109375" customWidth="1"/>
    <col min="6410" max="6410" width="19.28515625" customWidth="1"/>
    <col min="6411" max="6411" width="17.7109375" customWidth="1"/>
    <col min="6657" max="6657" width="65.140625" customWidth="1"/>
    <col min="6658" max="6662" width="17.7109375" customWidth="1"/>
    <col min="6663" max="6663" width="19.42578125" customWidth="1"/>
    <col min="6664" max="6665" width="17.7109375" customWidth="1"/>
    <col min="6666" max="6666" width="19.28515625" customWidth="1"/>
    <col min="6667" max="6667" width="17.7109375" customWidth="1"/>
    <col min="6913" max="6913" width="65.140625" customWidth="1"/>
    <col min="6914" max="6918" width="17.7109375" customWidth="1"/>
    <col min="6919" max="6919" width="19.42578125" customWidth="1"/>
    <col min="6920" max="6921" width="17.7109375" customWidth="1"/>
    <col min="6922" max="6922" width="19.28515625" customWidth="1"/>
    <col min="6923" max="6923" width="17.7109375" customWidth="1"/>
    <col min="7169" max="7169" width="65.140625" customWidth="1"/>
    <col min="7170" max="7174" width="17.7109375" customWidth="1"/>
    <col min="7175" max="7175" width="19.42578125" customWidth="1"/>
    <col min="7176" max="7177" width="17.7109375" customWidth="1"/>
    <col min="7178" max="7178" width="19.28515625" customWidth="1"/>
    <col min="7179" max="7179" width="17.7109375" customWidth="1"/>
    <col min="7425" max="7425" width="65.140625" customWidth="1"/>
    <col min="7426" max="7430" width="17.7109375" customWidth="1"/>
    <col min="7431" max="7431" width="19.42578125" customWidth="1"/>
    <col min="7432" max="7433" width="17.7109375" customWidth="1"/>
    <col min="7434" max="7434" width="19.28515625" customWidth="1"/>
    <col min="7435" max="7435" width="17.7109375" customWidth="1"/>
    <col min="7681" max="7681" width="65.140625" customWidth="1"/>
    <col min="7682" max="7686" width="17.7109375" customWidth="1"/>
    <col min="7687" max="7687" width="19.42578125" customWidth="1"/>
    <col min="7688" max="7689" width="17.7109375" customWidth="1"/>
    <col min="7690" max="7690" width="19.28515625" customWidth="1"/>
    <col min="7691" max="7691" width="17.7109375" customWidth="1"/>
    <col min="7937" max="7937" width="65.140625" customWidth="1"/>
    <col min="7938" max="7942" width="17.7109375" customWidth="1"/>
    <col min="7943" max="7943" width="19.42578125" customWidth="1"/>
    <col min="7944" max="7945" width="17.7109375" customWidth="1"/>
    <col min="7946" max="7946" width="19.28515625" customWidth="1"/>
    <col min="7947" max="7947" width="17.7109375" customWidth="1"/>
    <col min="8193" max="8193" width="65.140625" customWidth="1"/>
    <col min="8194" max="8198" width="17.7109375" customWidth="1"/>
    <col min="8199" max="8199" width="19.42578125" customWidth="1"/>
    <col min="8200" max="8201" width="17.7109375" customWidth="1"/>
    <col min="8202" max="8202" width="19.28515625" customWidth="1"/>
    <col min="8203" max="8203" width="17.7109375" customWidth="1"/>
    <col min="8449" max="8449" width="65.140625" customWidth="1"/>
    <col min="8450" max="8454" width="17.7109375" customWidth="1"/>
    <col min="8455" max="8455" width="19.42578125" customWidth="1"/>
    <col min="8456" max="8457" width="17.7109375" customWidth="1"/>
    <col min="8458" max="8458" width="19.28515625" customWidth="1"/>
    <col min="8459" max="8459" width="17.7109375" customWidth="1"/>
    <col min="8705" max="8705" width="65.140625" customWidth="1"/>
    <col min="8706" max="8710" width="17.7109375" customWidth="1"/>
    <col min="8711" max="8711" width="19.42578125" customWidth="1"/>
    <col min="8712" max="8713" width="17.7109375" customWidth="1"/>
    <col min="8714" max="8714" width="19.28515625" customWidth="1"/>
    <col min="8715" max="8715" width="17.7109375" customWidth="1"/>
    <col min="8961" max="8961" width="65.140625" customWidth="1"/>
    <col min="8962" max="8966" width="17.7109375" customWidth="1"/>
    <col min="8967" max="8967" width="19.42578125" customWidth="1"/>
    <col min="8968" max="8969" width="17.7109375" customWidth="1"/>
    <col min="8970" max="8970" width="19.28515625" customWidth="1"/>
    <col min="8971" max="8971" width="17.7109375" customWidth="1"/>
    <col min="9217" max="9217" width="65.140625" customWidth="1"/>
    <col min="9218" max="9222" width="17.7109375" customWidth="1"/>
    <col min="9223" max="9223" width="19.42578125" customWidth="1"/>
    <col min="9224" max="9225" width="17.7109375" customWidth="1"/>
    <col min="9226" max="9226" width="19.28515625" customWidth="1"/>
    <col min="9227" max="9227" width="17.7109375" customWidth="1"/>
    <col min="9473" max="9473" width="65.140625" customWidth="1"/>
    <col min="9474" max="9478" width="17.7109375" customWidth="1"/>
    <col min="9479" max="9479" width="19.42578125" customWidth="1"/>
    <col min="9480" max="9481" width="17.7109375" customWidth="1"/>
    <col min="9482" max="9482" width="19.28515625" customWidth="1"/>
    <col min="9483" max="9483" width="17.7109375" customWidth="1"/>
    <col min="9729" max="9729" width="65.140625" customWidth="1"/>
    <col min="9730" max="9734" width="17.7109375" customWidth="1"/>
    <col min="9735" max="9735" width="19.42578125" customWidth="1"/>
    <col min="9736" max="9737" width="17.7109375" customWidth="1"/>
    <col min="9738" max="9738" width="19.28515625" customWidth="1"/>
    <col min="9739" max="9739" width="17.7109375" customWidth="1"/>
    <col min="9985" max="9985" width="65.140625" customWidth="1"/>
    <col min="9986" max="9990" width="17.7109375" customWidth="1"/>
    <col min="9991" max="9991" width="19.42578125" customWidth="1"/>
    <col min="9992" max="9993" width="17.7109375" customWidth="1"/>
    <col min="9994" max="9994" width="19.28515625" customWidth="1"/>
    <col min="9995" max="9995" width="17.7109375" customWidth="1"/>
    <col min="10241" max="10241" width="65.140625" customWidth="1"/>
    <col min="10242" max="10246" width="17.7109375" customWidth="1"/>
    <col min="10247" max="10247" width="19.42578125" customWidth="1"/>
    <col min="10248" max="10249" width="17.7109375" customWidth="1"/>
    <col min="10250" max="10250" width="19.28515625" customWidth="1"/>
    <col min="10251" max="10251" width="17.7109375" customWidth="1"/>
    <col min="10497" max="10497" width="65.140625" customWidth="1"/>
    <col min="10498" max="10502" width="17.7109375" customWidth="1"/>
    <col min="10503" max="10503" width="19.42578125" customWidth="1"/>
    <col min="10504" max="10505" width="17.7109375" customWidth="1"/>
    <col min="10506" max="10506" width="19.28515625" customWidth="1"/>
    <col min="10507" max="10507" width="17.7109375" customWidth="1"/>
    <col min="10753" max="10753" width="65.140625" customWidth="1"/>
    <col min="10754" max="10758" width="17.7109375" customWidth="1"/>
    <col min="10759" max="10759" width="19.42578125" customWidth="1"/>
    <col min="10760" max="10761" width="17.7109375" customWidth="1"/>
    <col min="10762" max="10762" width="19.28515625" customWidth="1"/>
    <col min="10763" max="10763" width="17.7109375" customWidth="1"/>
    <col min="11009" max="11009" width="65.140625" customWidth="1"/>
    <col min="11010" max="11014" width="17.7109375" customWidth="1"/>
    <col min="11015" max="11015" width="19.42578125" customWidth="1"/>
    <col min="11016" max="11017" width="17.7109375" customWidth="1"/>
    <col min="11018" max="11018" width="19.28515625" customWidth="1"/>
    <col min="11019" max="11019" width="17.7109375" customWidth="1"/>
    <col min="11265" max="11265" width="65.140625" customWidth="1"/>
    <col min="11266" max="11270" width="17.7109375" customWidth="1"/>
    <col min="11271" max="11271" width="19.42578125" customWidth="1"/>
    <col min="11272" max="11273" width="17.7109375" customWidth="1"/>
    <col min="11274" max="11274" width="19.28515625" customWidth="1"/>
    <col min="11275" max="11275" width="17.7109375" customWidth="1"/>
    <col min="11521" max="11521" width="65.140625" customWidth="1"/>
    <col min="11522" max="11526" width="17.7109375" customWidth="1"/>
    <col min="11527" max="11527" width="19.42578125" customWidth="1"/>
    <col min="11528" max="11529" width="17.7109375" customWidth="1"/>
    <col min="11530" max="11530" width="19.28515625" customWidth="1"/>
    <col min="11531" max="11531" width="17.7109375" customWidth="1"/>
    <col min="11777" max="11777" width="65.140625" customWidth="1"/>
    <col min="11778" max="11782" width="17.7109375" customWidth="1"/>
    <col min="11783" max="11783" width="19.42578125" customWidth="1"/>
    <col min="11784" max="11785" width="17.7109375" customWidth="1"/>
    <col min="11786" max="11786" width="19.28515625" customWidth="1"/>
    <col min="11787" max="11787" width="17.7109375" customWidth="1"/>
    <col min="12033" max="12033" width="65.140625" customWidth="1"/>
    <col min="12034" max="12038" width="17.7109375" customWidth="1"/>
    <col min="12039" max="12039" width="19.42578125" customWidth="1"/>
    <col min="12040" max="12041" width="17.7109375" customWidth="1"/>
    <col min="12042" max="12042" width="19.28515625" customWidth="1"/>
    <col min="12043" max="12043" width="17.7109375" customWidth="1"/>
    <col min="12289" max="12289" width="65.140625" customWidth="1"/>
    <col min="12290" max="12294" width="17.7109375" customWidth="1"/>
    <col min="12295" max="12295" width="19.42578125" customWidth="1"/>
    <col min="12296" max="12297" width="17.7109375" customWidth="1"/>
    <col min="12298" max="12298" width="19.28515625" customWidth="1"/>
    <col min="12299" max="12299" width="17.7109375" customWidth="1"/>
    <col min="12545" max="12545" width="65.140625" customWidth="1"/>
    <col min="12546" max="12550" width="17.7109375" customWidth="1"/>
    <col min="12551" max="12551" width="19.42578125" customWidth="1"/>
    <col min="12552" max="12553" width="17.7109375" customWidth="1"/>
    <col min="12554" max="12554" width="19.28515625" customWidth="1"/>
    <col min="12555" max="12555" width="17.7109375" customWidth="1"/>
    <col min="12801" max="12801" width="65.140625" customWidth="1"/>
    <col min="12802" max="12806" width="17.7109375" customWidth="1"/>
    <col min="12807" max="12807" width="19.42578125" customWidth="1"/>
    <col min="12808" max="12809" width="17.7109375" customWidth="1"/>
    <col min="12810" max="12810" width="19.28515625" customWidth="1"/>
    <col min="12811" max="12811" width="17.7109375" customWidth="1"/>
    <col min="13057" max="13057" width="65.140625" customWidth="1"/>
    <col min="13058" max="13062" width="17.7109375" customWidth="1"/>
    <col min="13063" max="13063" width="19.42578125" customWidth="1"/>
    <col min="13064" max="13065" width="17.7109375" customWidth="1"/>
    <col min="13066" max="13066" width="19.28515625" customWidth="1"/>
    <col min="13067" max="13067" width="17.7109375" customWidth="1"/>
    <col min="13313" max="13313" width="65.140625" customWidth="1"/>
    <col min="13314" max="13318" width="17.7109375" customWidth="1"/>
    <col min="13319" max="13319" width="19.42578125" customWidth="1"/>
    <col min="13320" max="13321" width="17.7109375" customWidth="1"/>
    <col min="13322" max="13322" width="19.28515625" customWidth="1"/>
    <col min="13323" max="13323" width="17.7109375" customWidth="1"/>
    <col min="13569" max="13569" width="65.140625" customWidth="1"/>
    <col min="13570" max="13574" width="17.7109375" customWidth="1"/>
    <col min="13575" max="13575" width="19.42578125" customWidth="1"/>
    <col min="13576" max="13577" width="17.7109375" customWidth="1"/>
    <col min="13578" max="13578" width="19.28515625" customWidth="1"/>
    <col min="13579" max="13579" width="17.7109375" customWidth="1"/>
    <col min="13825" max="13825" width="65.140625" customWidth="1"/>
    <col min="13826" max="13830" width="17.7109375" customWidth="1"/>
    <col min="13831" max="13831" width="19.42578125" customWidth="1"/>
    <col min="13832" max="13833" width="17.7109375" customWidth="1"/>
    <col min="13834" max="13834" width="19.28515625" customWidth="1"/>
    <col min="13835" max="13835" width="17.7109375" customWidth="1"/>
    <col min="14081" max="14081" width="65.140625" customWidth="1"/>
    <col min="14082" max="14086" width="17.7109375" customWidth="1"/>
    <col min="14087" max="14087" width="19.42578125" customWidth="1"/>
    <col min="14088" max="14089" width="17.7109375" customWidth="1"/>
    <col min="14090" max="14090" width="19.28515625" customWidth="1"/>
    <col min="14091" max="14091" width="17.7109375" customWidth="1"/>
    <col min="14337" max="14337" width="65.140625" customWidth="1"/>
    <col min="14338" max="14342" width="17.7109375" customWidth="1"/>
    <col min="14343" max="14343" width="19.42578125" customWidth="1"/>
    <col min="14344" max="14345" width="17.7109375" customWidth="1"/>
    <col min="14346" max="14346" width="19.28515625" customWidth="1"/>
    <col min="14347" max="14347" width="17.7109375" customWidth="1"/>
    <col min="14593" max="14593" width="65.140625" customWidth="1"/>
    <col min="14594" max="14598" width="17.7109375" customWidth="1"/>
    <col min="14599" max="14599" width="19.42578125" customWidth="1"/>
    <col min="14600" max="14601" width="17.7109375" customWidth="1"/>
    <col min="14602" max="14602" width="19.28515625" customWidth="1"/>
    <col min="14603" max="14603" width="17.7109375" customWidth="1"/>
    <col min="14849" max="14849" width="65.140625" customWidth="1"/>
    <col min="14850" max="14854" width="17.7109375" customWidth="1"/>
    <col min="14855" max="14855" width="19.42578125" customWidth="1"/>
    <col min="14856" max="14857" width="17.7109375" customWidth="1"/>
    <col min="14858" max="14858" width="19.28515625" customWidth="1"/>
    <col min="14859" max="14859" width="17.7109375" customWidth="1"/>
    <col min="15105" max="15105" width="65.140625" customWidth="1"/>
    <col min="15106" max="15110" width="17.7109375" customWidth="1"/>
    <col min="15111" max="15111" width="19.42578125" customWidth="1"/>
    <col min="15112" max="15113" width="17.7109375" customWidth="1"/>
    <col min="15114" max="15114" width="19.28515625" customWidth="1"/>
    <col min="15115" max="15115" width="17.7109375" customWidth="1"/>
    <col min="15361" max="15361" width="65.140625" customWidth="1"/>
    <col min="15362" max="15366" width="17.7109375" customWidth="1"/>
    <col min="15367" max="15367" width="19.42578125" customWidth="1"/>
    <col min="15368" max="15369" width="17.7109375" customWidth="1"/>
    <col min="15370" max="15370" width="19.28515625" customWidth="1"/>
    <col min="15371" max="15371" width="17.7109375" customWidth="1"/>
    <col min="15617" max="15617" width="65.140625" customWidth="1"/>
    <col min="15618" max="15622" width="17.7109375" customWidth="1"/>
    <col min="15623" max="15623" width="19.42578125" customWidth="1"/>
    <col min="15624" max="15625" width="17.7109375" customWidth="1"/>
    <col min="15626" max="15626" width="19.28515625" customWidth="1"/>
    <col min="15627" max="15627" width="17.7109375" customWidth="1"/>
    <col min="15873" max="15873" width="65.140625" customWidth="1"/>
    <col min="15874" max="15878" width="17.7109375" customWidth="1"/>
    <col min="15879" max="15879" width="19.42578125" customWidth="1"/>
    <col min="15880" max="15881" width="17.7109375" customWidth="1"/>
    <col min="15882" max="15882" width="19.28515625" customWidth="1"/>
    <col min="15883" max="15883" width="17.7109375" customWidth="1"/>
    <col min="16129" max="16129" width="65.140625" customWidth="1"/>
    <col min="16130" max="16134" width="17.7109375" customWidth="1"/>
    <col min="16135" max="16135" width="19.42578125" customWidth="1"/>
    <col min="16136" max="16137" width="17.7109375" customWidth="1"/>
    <col min="16138" max="16138" width="19.28515625" customWidth="1"/>
    <col min="16139" max="16139" width="17.7109375" customWidth="1"/>
  </cols>
  <sheetData>
    <row r="1" spans="1:11" s="177" customFormat="1" ht="21" customHeight="1">
      <c r="A1" s="175" t="s">
        <v>235</v>
      </c>
      <c r="B1" s="176"/>
    </row>
    <row r="2" spans="1:11" s="177" customFormat="1" ht="19.5" customHeight="1">
      <c r="A2" s="178" t="s">
        <v>639</v>
      </c>
      <c r="B2" s="176"/>
      <c r="C2" s="179"/>
      <c r="D2" s="179"/>
      <c r="E2" s="179"/>
      <c r="F2" s="179"/>
      <c r="G2" s="179"/>
      <c r="H2" s="179"/>
      <c r="I2" s="179"/>
      <c r="J2" s="179"/>
      <c r="K2" s="180" t="s">
        <v>234</v>
      </c>
    </row>
    <row r="3" spans="1:11" s="177" customFormat="1" ht="22.5" customHeight="1">
      <c r="A3" s="181" t="s">
        <v>640</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ht="18.75" customHeight="1">
      <c r="A5" s="248"/>
      <c r="D5" s="249"/>
      <c r="E5" s="249"/>
      <c r="F5" s="249"/>
      <c r="G5" s="248"/>
      <c r="H5" s="249"/>
      <c r="I5" s="249"/>
      <c r="K5" s="249"/>
    </row>
    <row r="6" spans="1:11" s="177" customFormat="1">
      <c r="A6" s="182" t="s">
        <v>228</v>
      </c>
      <c r="B6" s="182" t="s">
        <v>227</v>
      </c>
      <c r="C6" s="182" t="s">
        <v>226</v>
      </c>
      <c r="D6" s="182"/>
      <c r="E6" s="183" t="s">
        <v>225</v>
      </c>
      <c r="F6" s="183"/>
      <c r="G6" s="182" t="s">
        <v>224</v>
      </c>
      <c r="H6" s="1381" t="s">
        <v>223</v>
      </c>
      <c r="I6" s="1381"/>
      <c r="J6" s="182" t="s">
        <v>222</v>
      </c>
      <c r="K6" s="182" t="s">
        <v>221</v>
      </c>
    </row>
    <row r="7" spans="1:11" s="186" customFormat="1">
      <c r="A7" s="1382" t="s">
        <v>220</v>
      </c>
      <c r="B7" s="1379" t="s">
        <v>219</v>
      </c>
      <c r="C7" s="1379" t="s">
        <v>218</v>
      </c>
      <c r="D7" s="1379" t="s">
        <v>217</v>
      </c>
      <c r="E7" s="1379" t="s">
        <v>216</v>
      </c>
      <c r="F7" s="1379"/>
      <c r="G7" s="1379" t="s">
        <v>215</v>
      </c>
      <c r="H7" s="1379" t="s">
        <v>214</v>
      </c>
      <c r="I7" s="1379"/>
      <c r="J7" s="1379" t="s">
        <v>240</v>
      </c>
      <c r="K7" s="1380" t="s">
        <v>212</v>
      </c>
    </row>
    <row r="8" spans="1:11" s="186" customFormat="1">
      <c r="A8" s="1382"/>
      <c r="B8" s="1379"/>
      <c r="C8" s="1379"/>
      <c r="D8" s="1379"/>
      <c r="E8" s="187" t="s">
        <v>211</v>
      </c>
      <c r="F8" s="187" t="s">
        <v>210</v>
      </c>
      <c r="G8" s="1379"/>
      <c r="H8" s="187" t="s">
        <v>211</v>
      </c>
      <c r="I8" s="187" t="s">
        <v>210</v>
      </c>
      <c r="J8" s="1379"/>
      <c r="K8" s="1380"/>
    </row>
    <row r="9" spans="1:11" ht="15.95" customHeight="1">
      <c r="A9" s="188" t="s">
        <v>208</v>
      </c>
      <c r="B9" s="189"/>
      <c r="C9" s="189"/>
      <c r="D9" s="189"/>
      <c r="E9" s="189"/>
      <c r="F9" s="189"/>
      <c r="G9" s="189"/>
      <c r="H9" s="189"/>
      <c r="I9" s="189"/>
      <c r="J9" s="189"/>
      <c r="K9" s="190">
        <f>SUM(K10)</f>
        <v>0</v>
      </c>
    </row>
    <row r="10" spans="1:11" ht="19.5" customHeight="1">
      <c r="A10" s="192"/>
      <c r="B10" s="193"/>
      <c r="C10" s="193"/>
      <c r="D10" s="194"/>
      <c r="E10" s="194"/>
      <c r="F10" s="194"/>
      <c r="G10" s="193"/>
      <c r="H10" s="193"/>
      <c r="I10" s="193"/>
      <c r="J10" s="193"/>
      <c r="K10" s="195"/>
    </row>
    <row r="11" spans="1:11" ht="15.95" customHeight="1">
      <c r="A11" s="188" t="s">
        <v>207</v>
      </c>
      <c r="B11" s="189"/>
      <c r="C11" s="189"/>
      <c r="D11" s="196"/>
      <c r="E11" s="196"/>
      <c r="F11" s="196"/>
      <c r="G11" s="189"/>
      <c r="H11" s="189"/>
      <c r="I11" s="189"/>
      <c r="J11" s="189"/>
      <c r="K11" s="190">
        <f>SUM(K12:K19)</f>
        <v>0</v>
      </c>
    </row>
    <row r="12" spans="1:11" ht="25.5" customHeight="1">
      <c r="A12" s="192" t="s">
        <v>641</v>
      </c>
      <c r="B12" s="193" t="s">
        <v>642</v>
      </c>
      <c r="C12" s="193" t="s">
        <v>643</v>
      </c>
      <c r="D12" s="194" t="s">
        <v>371</v>
      </c>
      <c r="E12" s="194"/>
      <c r="F12" s="194"/>
      <c r="G12" s="193" t="s">
        <v>644</v>
      </c>
      <c r="H12" s="193"/>
      <c r="I12" s="193"/>
      <c r="J12" s="422" t="s">
        <v>645</v>
      </c>
      <c r="K12" s="261"/>
    </row>
    <row r="13" spans="1:11" ht="28.5" customHeight="1">
      <c r="A13" s="192" t="s">
        <v>646</v>
      </c>
      <c r="B13" s="193" t="s">
        <v>647</v>
      </c>
      <c r="C13" s="193" t="s">
        <v>109</v>
      </c>
      <c r="D13" s="194">
        <v>0.02</v>
      </c>
      <c r="E13" s="194">
        <v>0.01</v>
      </c>
      <c r="F13" s="194">
        <v>0.06</v>
      </c>
      <c r="G13" s="423" t="s">
        <v>648</v>
      </c>
      <c r="H13" s="193"/>
      <c r="I13" s="193"/>
      <c r="J13" s="422" t="s">
        <v>649</v>
      </c>
      <c r="K13" s="261"/>
    </row>
    <row r="14" spans="1:11" ht="74.25" customHeight="1">
      <c r="A14" s="192" t="s">
        <v>650</v>
      </c>
      <c r="B14" s="193" t="s">
        <v>651</v>
      </c>
      <c r="C14" s="193" t="s">
        <v>109</v>
      </c>
      <c r="D14" s="424">
        <v>2.5000000000000001E-3</v>
      </c>
      <c r="E14" s="425"/>
      <c r="F14" s="194"/>
      <c r="G14" s="426" t="s">
        <v>652</v>
      </c>
      <c r="H14" s="193"/>
      <c r="I14" s="193"/>
      <c r="J14" s="422" t="s">
        <v>653</v>
      </c>
      <c r="K14" s="261"/>
    </row>
    <row r="15" spans="1:11" ht="15.95" customHeight="1">
      <c r="A15" s="1396" t="s">
        <v>654</v>
      </c>
      <c r="B15" s="1398" t="s">
        <v>655</v>
      </c>
      <c r="C15" s="1398" t="s">
        <v>109</v>
      </c>
      <c r="D15" s="428" t="s">
        <v>656</v>
      </c>
      <c r="E15" s="1400"/>
      <c r="F15" s="1400"/>
      <c r="G15" s="1402"/>
      <c r="H15" s="1402"/>
      <c r="I15" s="1402"/>
      <c r="J15" s="1392" t="s">
        <v>657</v>
      </c>
      <c r="K15" s="1394"/>
    </row>
    <row r="16" spans="1:11" ht="22.5" customHeight="1">
      <c r="A16" s="1397"/>
      <c r="B16" s="1399"/>
      <c r="C16" s="1399"/>
      <c r="D16" s="428" t="s">
        <v>658</v>
      </c>
      <c r="E16" s="1401"/>
      <c r="F16" s="1401"/>
      <c r="G16" s="1403"/>
      <c r="H16" s="1403"/>
      <c r="I16" s="1403"/>
      <c r="J16" s="1393"/>
      <c r="K16" s="1395"/>
    </row>
    <row r="17" spans="1:11" ht="70.5" customHeight="1">
      <c r="A17" s="192" t="s">
        <v>659</v>
      </c>
      <c r="B17" s="193" t="s">
        <v>651</v>
      </c>
      <c r="C17" s="193" t="s">
        <v>109</v>
      </c>
      <c r="D17" s="424">
        <v>1.5E-3</v>
      </c>
      <c r="E17" s="425"/>
      <c r="F17" s="194"/>
      <c r="G17" s="426" t="s">
        <v>660</v>
      </c>
      <c r="H17" s="193"/>
      <c r="I17" s="193"/>
      <c r="J17" s="422" t="s">
        <v>661</v>
      </c>
      <c r="K17" s="261"/>
    </row>
    <row r="18" spans="1:11" ht="33" customHeight="1">
      <c r="A18" s="192" t="s">
        <v>281</v>
      </c>
      <c r="B18" s="193" t="s">
        <v>662</v>
      </c>
      <c r="C18" s="193" t="s">
        <v>663</v>
      </c>
      <c r="D18" s="194"/>
      <c r="E18" s="194"/>
      <c r="F18" s="194"/>
      <c r="G18" s="193" t="s">
        <v>664</v>
      </c>
      <c r="H18" s="193"/>
      <c r="I18" s="193"/>
      <c r="J18" s="422" t="s">
        <v>665</v>
      </c>
      <c r="K18" s="261"/>
    </row>
    <row r="19" spans="1:11" ht="39" customHeight="1">
      <c r="A19" s="192" t="s">
        <v>666</v>
      </c>
      <c r="B19" s="432" t="s">
        <v>667</v>
      </c>
      <c r="C19" s="193" t="s">
        <v>668</v>
      </c>
      <c r="D19" s="395" t="s">
        <v>669</v>
      </c>
      <c r="E19" s="194"/>
      <c r="F19" s="194"/>
      <c r="G19" s="193"/>
      <c r="H19" s="193"/>
      <c r="I19" s="193"/>
      <c r="J19" s="422" t="s">
        <v>670</v>
      </c>
      <c r="K19" s="261"/>
    </row>
    <row r="20" spans="1:11" s="177" customFormat="1" ht="15.95" customHeight="1">
      <c r="A20" s="209" t="s">
        <v>191</v>
      </c>
      <c r="B20" s="210"/>
      <c r="C20" s="210"/>
      <c r="D20" s="211"/>
      <c r="E20" s="211"/>
      <c r="F20" s="211"/>
      <c r="G20" s="210"/>
      <c r="H20" s="210"/>
      <c r="I20" s="210"/>
      <c r="J20" s="210"/>
      <c r="K20" s="213">
        <f>SUM(K21:K22)</f>
        <v>0</v>
      </c>
    </row>
    <row r="21" spans="1:11" s="177" customFormat="1" ht="15.95" customHeight="1">
      <c r="A21" s="192"/>
      <c r="B21" s="217"/>
      <c r="C21" s="217"/>
      <c r="D21" s="216"/>
      <c r="E21" s="216"/>
      <c r="F21" s="216"/>
      <c r="G21" s="217"/>
      <c r="H21" s="217"/>
      <c r="I21" s="217"/>
      <c r="J21" s="217"/>
      <c r="K21" s="219"/>
    </row>
    <row r="22" spans="1:11" s="177" customFormat="1" ht="15.95" customHeight="1">
      <c r="A22" s="192"/>
      <c r="B22" s="217"/>
      <c r="C22" s="217"/>
      <c r="D22" s="216"/>
      <c r="E22" s="216"/>
      <c r="F22" s="216"/>
      <c r="G22" s="217"/>
      <c r="H22" s="217"/>
      <c r="I22" s="217"/>
      <c r="J22" s="217"/>
      <c r="K22" s="219"/>
    </row>
    <row r="23" spans="1:11" ht="15.95" customHeight="1">
      <c r="A23" s="188" t="s">
        <v>179</v>
      </c>
      <c r="B23" s="189"/>
      <c r="C23" s="189"/>
      <c r="D23" s="196"/>
      <c r="E23" s="196"/>
      <c r="F23" s="196"/>
      <c r="G23" s="189"/>
      <c r="H23" s="189"/>
      <c r="I23" s="189"/>
      <c r="J23" s="189"/>
      <c r="K23" s="190">
        <f>SUM(K24:K30)</f>
        <v>0</v>
      </c>
    </row>
    <row r="24" spans="1:11" ht="24" customHeight="1">
      <c r="A24" s="192" t="s">
        <v>671</v>
      </c>
      <c r="B24" s="193"/>
      <c r="C24" s="193" t="s">
        <v>672</v>
      </c>
      <c r="D24" s="194"/>
      <c r="E24" s="194"/>
      <c r="F24" s="194"/>
      <c r="G24" s="193"/>
      <c r="H24" s="193"/>
      <c r="I24" s="193"/>
      <c r="J24" s="422" t="s">
        <v>673</v>
      </c>
      <c r="K24" s="261"/>
    </row>
    <row r="25" spans="1:11" ht="24" customHeight="1">
      <c r="A25" s="192" t="s">
        <v>674</v>
      </c>
      <c r="B25" s="193"/>
      <c r="C25" s="193" t="s">
        <v>283</v>
      </c>
      <c r="D25" s="194"/>
      <c r="E25" s="194"/>
      <c r="F25" s="194"/>
      <c r="G25" s="193"/>
      <c r="H25" s="193"/>
      <c r="I25" s="193"/>
      <c r="J25" s="422" t="s">
        <v>675</v>
      </c>
      <c r="K25" s="261"/>
    </row>
    <row r="26" spans="1:11" ht="24" customHeight="1">
      <c r="A26" s="192" t="s">
        <v>676</v>
      </c>
      <c r="B26" s="193" t="s">
        <v>677</v>
      </c>
      <c r="C26" s="193" t="s">
        <v>672</v>
      </c>
      <c r="D26" s="194"/>
      <c r="E26" s="194"/>
      <c r="F26" s="194"/>
      <c r="G26" s="193"/>
      <c r="H26" s="193"/>
      <c r="I26" s="193"/>
      <c r="J26" s="422" t="s">
        <v>678</v>
      </c>
      <c r="K26" s="261"/>
    </row>
    <row r="27" spans="1:11" ht="25.5" customHeight="1">
      <c r="A27" s="192" t="s">
        <v>679</v>
      </c>
      <c r="B27" s="193" t="s">
        <v>680</v>
      </c>
      <c r="C27" s="193" t="s">
        <v>681</v>
      </c>
      <c r="D27" s="194"/>
      <c r="E27" s="194"/>
      <c r="F27" s="194"/>
      <c r="G27" s="193"/>
      <c r="H27" s="193"/>
      <c r="I27" s="193"/>
      <c r="J27" s="422" t="s">
        <v>682</v>
      </c>
      <c r="K27" s="261"/>
    </row>
    <row r="28" spans="1:11" ht="15.95" customHeight="1">
      <c r="A28" s="192"/>
      <c r="B28" s="193"/>
      <c r="C28" s="193"/>
      <c r="D28" s="194"/>
      <c r="E28" s="194"/>
      <c r="F28" s="194"/>
      <c r="G28" s="193"/>
      <c r="H28" s="193"/>
      <c r="I28" s="193"/>
      <c r="J28" s="193"/>
      <c r="K28" s="195"/>
    </row>
    <row r="29" spans="1:11" ht="15.95" customHeight="1">
      <c r="A29" s="192"/>
      <c r="B29" s="193"/>
      <c r="C29" s="193"/>
      <c r="D29" s="194"/>
      <c r="E29" s="194"/>
      <c r="F29" s="194"/>
      <c r="G29" s="193"/>
      <c r="H29" s="193"/>
      <c r="I29" s="193"/>
      <c r="J29" s="193"/>
      <c r="K29" s="195"/>
    </row>
    <row r="30" spans="1:11" ht="15.95" customHeight="1">
      <c r="A30" s="192"/>
      <c r="B30" s="193"/>
      <c r="C30" s="193"/>
      <c r="D30" s="194"/>
      <c r="E30" s="194"/>
      <c r="F30" s="194"/>
      <c r="G30" s="193"/>
      <c r="H30" s="193"/>
      <c r="I30" s="193"/>
      <c r="J30" s="193"/>
      <c r="K30" s="195"/>
    </row>
    <row r="31" spans="1:11" ht="15.95" customHeight="1">
      <c r="A31" s="188" t="s">
        <v>152</v>
      </c>
      <c r="B31" s="189"/>
      <c r="C31" s="189"/>
      <c r="D31" s="196"/>
      <c r="E31" s="196"/>
      <c r="F31" s="196"/>
      <c r="G31" s="189"/>
      <c r="H31" s="189"/>
      <c r="I31" s="189"/>
      <c r="J31" s="189"/>
      <c r="K31" s="190">
        <f>SUM(K32:K34)</f>
        <v>0</v>
      </c>
    </row>
    <row r="32" spans="1:11" ht="15.95" customHeight="1">
      <c r="A32" s="256"/>
      <c r="B32" s="193"/>
      <c r="C32" s="193"/>
      <c r="D32" s="194"/>
      <c r="E32" s="194"/>
      <c r="F32" s="194"/>
      <c r="G32" s="193"/>
      <c r="H32" s="193"/>
      <c r="I32" s="193"/>
      <c r="J32" s="193"/>
      <c r="K32" s="195"/>
    </row>
    <row r="33" spans="1:11" ht="15.95" customHeight="1">
      <c r="A33" s="256"/>
      <c r="B33" s="193"/>
      <c r="C33" s="193"/>
      <c r="D33" s="194"/>
      <c r="E33" s="194"/>
      <c r="F33" s="194"/>
      <c r="G33" s="193"/>
      <c r="H33" s="193"/>
      <c r="I33" s="193"/>
      <c r="J33" s="193"/>
      <c r="K33" s="195"/>
    </row>
    <row r="34" spans="1:11" ht="15.95" customHeight="1">
      <c r="A34" s="256"/>
      <c r="B34" s="193"/>
      <c r="C34" s="193"/>
      <c r="D34" s="194"/>
      <c r="E34" s="194"/>
      <c r="F34" s="194"/>
      <c r="G34" s="193"/>
      <c r="H34" s="193"/>
      <c r="I34" s="193"/>
      <c r="J34" s="193"/>
      <c r="K34" s="195"/>
    </row>
    <row r="35" spans="1:11" ht="15.95" customHeight="1">
      <c r="A35" s="188" t="s">
        <v>151</v>
      </c>
      <c r="B35" s="189"/>
      <c r="C35" s="189"/>
      <c r="D35" s="196"/>
      <c r="E35" s="196"/>
      <c r="F35" s="196"/>
      <c r="G35" s="189"/>
      <c r="H35" s="189"/>
      <c r="I35" s="189"/>
      <c r="J35" s="189"/>
      <c r="K35" s="190">
        <f>SUM(K36:K38)</f>
        <v>0</v>
      </c>
    </row>
    <row r="36" spans="1:11" ht="30" customHeight="1">
      <c r="A36" s="192" t="s">
        <v>683</v>
      </c>
      <c r="B36" s="432" t="s">
        <v>684</v>
      </c>
      <c r="C36" s="193" t="s">
        <v>685</v>
      </c>
      <c r="D36" s="194"/>
      <c r="E36" s="194"/>
      <c r="F36" s="194"/>
      <c r="G36" s="193"/>
      <c r="H36" s="193"/>
      <c r="I36" s="193"/>
      <c r="J36" s="422" t="s">
        <v>686</v>
      </c>
      <c r="K36" s="261"/>
    </row>
    <row r="37" spans="1:11" ht="15.95" customHeight="1">
      <c r="A37" s="256"/>
      <c r="B37" s="193"/>
      <c r="C37" s="193"/>
      <c r="D37" s="194"/>
      <c r="E37" s="194"/>
      <c r="F37" s="194"/>
      <c r="G37" s="193"/>
      <c r="H37" s="193"/>
      <c r="I37" s="193"/>
      <c r="J37" s="193"/>
      <c r="K37" s="195"/>
    </row>
    <row r="38" spans="1:11" ht="15.95" customHeight="1">
      <c r="A38" s="256"/>
      <c r="B38" s="193"/>
      <c r="C38" s="193"/>
      <c r="D38" s="194"/>
      <c r="E38" s="194"/>
      <c r="F38" s="194"/>
      <c r="G38" s="193"/>
      <c r="H38" s="193"/>
      <c r="I38" s="193"/>
      <c r="J38" s="193"/>
      <c r="K38" s="195"/>
    </row>
    <row r="39" spans="1:11" s="177" customFormat="1" ht="15.95" customHeight="1">
      <c r="A39" s="209" t="s">
        <v>137</v>
      </c>
      <c r="B39" s="210"/>
      <c r="C39" s="210"/>
      <c r="D39" s="211"/>
      <c r="E39" s="211"/>
      <c r="F39" s="211"/>
      <c r="G39" s="210"/>
      <c r="H39" s="210"/>
      <c r="I39" s="210"/>
      <c r="J39" s="210"/>
      <c r="K39" s="213">
        <f>SUM(K40)</f>
        <v>0</v>
      </c>
    </row>
    <row r="40" spans="1:11" s="177" customFormat="1" ht="15.95" customHeight="1">
      <c r="A40" s="274"/>
      <c r="B40" s="217"/>
      <c r="C40" s="217"/>
      <c r="D40" s="216"/>
      <c r="E40" s="216"/>
      <c r="F40" s="216"/>
      <c r="G40" s="217"/>
      <c r="H40" s="217"/>
      <c r="I40" s="217"/>
      <c r="J40" s="217"/>
      <c r="K40" s="219"/>
    </row>
    <row r="41" spans="1:11" ht="15.95" customHeight="1">
      <c r="A41" s="188" t="s">
        <v>136</v>
      </c>
      <c r="B41" s="189"/>
      <c r="C41" s="189"/>
      <c r="D41" s="196"/>
      <c r="E41" s="196"/>
      <c r="F41" s="196"/>
      <c r="G41" s="189"/>
      <c r="H41" s="189"/>
      <c r="I41" s="189"/>
      <c r="J41" s="189"/>
      <c r="K41" s="190">
        <f>SUM(K42)</f>
        <v>0</v>
      </c>
    </row>
    <row r="42" spans="1:11" ht="32.25" customHeight="1">
      <c r="A42" s="192" t="s">
        <v>687</v>
      </c>
      <c r="B42" s="432" t="s">
        <v>688</v>
      </c>
      <c r="C42" s="193" t="s">
        <v>109</v>
      </c>
      <c r="D42" s="194">
        <v>0.1</v>
      </c>
      <c r="E42" s="194"/>
      <c r="F42" s="194"/>
      <c r="G42" s="193"/>
      <c r="H42" s="193"/>
      <c r="I42" s="193"/>
      <c r="J42" s="422" t="s">
        <v>689</v>
      </c>
      <c r="K42" s="261"/>
    </row>
    <row r="43" spans="1:11" ht="15.95" customHeight="1">
      <c r="A43" s="241" t="s">
        <v>108</v>
      </c>
      <c r="B43" s="242"/>
      <c r="C43" s="242"/>
      <c r="D43" s="243"/>
      <c r="E43" s="243"/>
      <c r="F43" s="243"/>
      <c r="G43" s="242"/>
      <c r="H43" s="242"/>
      <c r="I43" s="242"/>
      <c r="J43" s="242"/>
      <c r="K43" s="276">
        <f>+K9+K11+K20+K23+K31+K35+K39+K41</f>
        <v>0</v>
      </c>
    </row>
    <row r="44" spans="1:11">
      <c r="A44" s="245" t="s">
        <v>690</v>
      </c>
      <c r="B44" s="246"/>
      <c r="C44" s="246"/>
      <c r="D44" s="246"/>
      <c r="E44" s="246"/>
      <c r="F44" s="246"/>
      <c r="G44" s="246"/>
      <c r="H44" s="246"/>
      <c r="I44" s="246"/>
      <c r="J44" s="246"/>
      <c r="K44" s="246"/>
    </row>
    <row r="45" spans="1:11">
      <c r="A45" t="s">
        <v>691</v>
      </c>
    </row>
    <row r="47" spans="1:11">
      <c r="A47" s="309"/>
    </row>
    <row r="48" spans="1:11">
      <c r="A48" s="309"/>
    </row>
  </sheetData>
  <mergeCells count="20">
    <mergeCell ref="J15:J16"/>
    <mergeCell ref="K15:K16"/>
    <mergeCell ref="J7:J8"/>
    <mergeCell ref="K7:K8"/>
    <mergeCell ref="A15:A16"/>
    <mergeCell ref="B15:B16"/>
    <mergeCell ref="C15:C16"/>
    <mergeCell ref="E15:E16"/>
    <mergeCell ref="F15:F16"/>
    <mergeCell ref="G15:G16"/>
    <mergeCell ref="H15:H16"/>
    <mergeCell ref="I15:I16"/>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K41"/>
  <sheetViews>
    <sheetView showGridLines="0" zoomScale="130" zoomScaleNormal="130" workbookViewId="0"/>
  </sheetViews>
  <sheetFormatPr baseColWidth="10" defaultRowHeight="11.25"/>
  <cols>
    <col min="1" max="1" width="31.42578125" style="328" customWidth="1"/>
    <col min="2" max="2" width="19.7109375" style="328" customWidth="1"/>
    <col min="3" max="3" width="11" style="328" customWidth="1"/>
    <col min="4" max="4" width="8.5703125" style="328" customWidth="1"/>
    <col min="5" max="5" width="8" style="328" customWidth="1"/>
    <col min="6" max="7" width="8.5703125" style="328" customWidth="1"/>
    <col min="8" max="8" width="8.42578125" style="328" customWidth="1"/>
    <col min="9" max="9" width="9.7109375" style="328" customWidth="1"/>
    <col min="10" max="10" width="13.42578125" style="328" customWidth="1"/>
    <col min="11" max="11" width="13.28515625" style="328" customWidth="1"/>
    <col min="12" max="16384" width="11.42578125" style="328"/>
  </cols>
  <sheetData>
    <row r="1" spans="1:11">
      <c r="A1" s="433" t="s">
        <v>235</v>
      </c>
      <c r="B1" s="434"/>
      <c r="C1" s="434"/>
      <c r="D1" s="434"/>
      <c r="E1" s="434"/>
      <c r="F1" s="434"/>
      <c r="G1" s="434"/>
      <c r="H1" s="435"/>
      <c r="I1" s="435"/>
      <c r="J1" s="434"/>
      <c r="K1" s="434"/>
    </row>
    <row r="2" spans="1:11">
      <c r="A2" s="436" t="s">
        <v>692</v>
      </c>
      <c r="B2" s="434"/>
      <c r="C2" s="434"/>
      <c r="D2" s="434"/>
      <c r="E2" s="434"/>
      <c r="F2" s="434"/>
      <c r="G2" s="434"/>
      <c r="H2" s="435"/>
      <c r="I2" s="435"/>
      <c r="J2" s="434"/>
      <c r="K2" s="434"/>
    </row>
    <row r="3" spans="1:11">
      <c r="A3" s="437" t="s">
        <v>693</v>
      </c>
      <c r="B3" s="434"/>
      <c r="C3" s="434"/>
      <c r="D3" s="434"/>
      <c r="E3" s="434"/>
      <c r="F3" s="434"/>
      <c r="G3" s="434"/>
      <c r="H3" s="435"/>
      <c r="I3" s="435"/>
      <c r="J3" s="434"/>
      <c r="K3" s="434"/>
    </row>
    <row r="4" spans="1:11" ht="12" thickBot="1">
      <c r="A4" s="433" t="s">
        <v>232</v>
      </c>
      <c r="B4" s="434"/>
      <c r="C4" s="434"/>
      <c r="D4" s="434"/>
      <c r="E4" s="434"/>
      <c r="F4" s="434"/>
      <c r="G4" s="434"/>
      <c r="H4" s="435"/>
      <c r="I4" s="435"/>
      <c r="J4" s="434"/>
      <c r="K4" s="434"/>
    </row>
    <row r="5" spans="1:11" ht="15" customHeight="1">
      <c r="A5" s="1413" t="s">
        <v>220</v>
      </c>
      <c r="B5" s="1415" t="s">
        <v>219</v>
      </c>
      <c r="C5" s="1415" t="s">
        <v>218</v>
      </c>
      <c r="D5" s="1415" t="s">
        <v>217</v>
      </c>
      <c r="E5" s="1417" t="s">
        <v>216</v>
      </c>
      <c r="F5" s="1418"/>
      <c r="G5" s="1415" t="s">
        <v>215</v>
      </c>
      <c r="H5" s="1404" t="s">
        <v>214</v>
      </c>
      <c r="I5" s="1405"/>
      <c r="J5" s="1406" t="s">
        <v>240</v>
      </c>
      <c r="K5" s="438" t="s">
        <v>694</v>
      </c>
    </row>
    <row r="6" spans="1:11" ht="12" thickBot="1">
      <c r="A6" s="1414"/>
      <c r="B6" s="1416"/>
      <c r="C6" s="1416"/>
      <c r="D6" s="1416"/>
      <c r="E6" s="439" t="s">
        <v>211</v>
      </c>
      <c r="F6" s="439" t="s">
        <v>210</v>
      </c>
      <c r="G6" s="1416"/>
      <c r="H6" s="440" t="s">
        <v>211</v>
      </c>
      <c r="I6" s="440" t="s">
        <v>210</v>
      </c>
      <c r="J6" s="1407"/>
      <c r="K6" s="441">
        <v>44742</v>
      </c>
    </row>
    <row r="7" spans="1:11" ht="12" thickBot="1">
      <c r="A7" s="442" t="s">
        <v>208</v>
      </c>
      <c r="B7" s="443"/>
      <c r="C7" s="443"/>
      <c r="D7" s="443"/>
      <c r="E7" s="443"/>
      <c r="F7" s="443"/>
      <c r="G7" s="443"/>
      <c r="H7" s="444"/>
      <c r="I7" s="444"/>
      <c r="J7" s="445"/>
      <c r="K7" s="446"/>
    </row>
    <row r="8" spans="1:11" ht="12" thickBot="1">
      <c r="A8" s="447"/>
      <c r="B8" s="448"/>
      <c r="C8" s="448"/>
      <c r="D8" s="449"/>
      <c r="E8" s="449"/>
      <c r="F8" s="449"/>
      <c r="G8" s="448"/>
      <c r="H8" s="450"/>
      <c r="I8" s="450"/>
      <c r="J8" s="451"/>
      <c r="K8" s="452"/>
    </row>
    <row r="9" spans="1:11" ht="12" thickBot="1">
      <c r="A9" s="442" t="s">
        <v>207</v>
      </c>
      <c r="B9" s="443"/>
      <c r="C9" s="443"/>
      <c r="D9" s="453"/>
      <c r="E9" s="453"/>
      <c r="F9" s="453"/>
      <c r="G9" s="443"/>
      <c r="H9" s="444"/>
      <c r="I9" s="444"/>
      <c r="J9" s="445"/>
      <c r="K9" s="454">
        <v>94239136.12999998</v>
      </c>
    </row>
    <row r="10" spans="1:11">
      <c r="A10" s="455" t="s">
        <v>695</v>
      </c>
      <c r="B10" s="456" t="s">
        <v>696</v>
      </c>
      <c r="C10" s="368" t="s">
        <v>109</v>
      </c>
      <c r="D10" s="457"/>
      <c r="E10" s="458">
        <v>8.0000000000000002E-3</v>
      </c>
      <c r="F10" s="459">
        <v>0.09</v>
      </c>
      <c r="G10" s="456"/>
      <c r="H10" s="460"/>
      <c r="I10" s="460"/>
      <c r="J10" s="461" t="s">
        <v>697</v>
      </c>
      <c r="K10" s="1408">
        <v>65809161.489999995</v>
      </c>
    </row>
    <row r="11" spans="1:11">
      <c r="A11" s="455" t="s">
        <v>698</v>
      </c>
      <c r="B11" s="456" t="s">
        <v>699</v>
      </c>
      <c r="C11" s="368" t="s">
        <v>109</v>
      </c>
      <c r="D11" s="1410">
        <v>0.16</v>
      </c>
      <c r="E11" s="1411"/>
      <c r="F11" s="1412"/>
      <c r="G11" s="456"/>
      <c r="H11" s="460"/>
      <c r="I11" s="460"/>
      <c r="J11" s="461" t="s">
        <v>700</v>
      </c>
      <c r="K11" s="1409"/>
    </row>
    <row r="12" spans="1:11">
      <c r="A12" s="462" t="s">
        <v>256</v>
      </c>
      <c r="B12" s="368" t="s">
        <v>701</v>
      </c>
      <c r="C12" s="368" t="s">
        <v>109</v>
      </c>
      <c r="D12" s="369"/>
      <c r="E12" s="463">
        <v>1.0999999999999999E-2</v>
      </c>
      <c r="F12" s="463">
        <v>2.0299999999999999E-2</v>
      </c>
      <c r="G12" s="368"/>
      <c r="H12" s="464"/>
      <c r="I12" s="464"/>
      <c r="J12" s="461" t="s">
        <v>697</v>
      </c>
      <c r="K12" s="465">
        <v>13299576.079999996</v>
      </c>
    </row>
    <row r="13" spans="1:11">
      <c r="A13" s="466" t="s">
        <v>702</v>
      </c>
      <c r="B13" s="368" t="s">
        <v>703</v>
      </c>
      <c r="C13" s="368" t="s">
        <v>109</v>
      </c>
      <c r="D13" s="369"/>
      <c r="E13" s="369"/>
      <c r="F13" s="369"/>
      <c r="G13" s="368"/>
      <c r="H13" s="464">
        <v>101</v>
      </c>
      <c r="I13" s="464">
        <v>4930</v>
      </c>
      <c r="J13" s="461" t="s">
        <v>697</v>
      </c>
      <c r="K13" s="465">
        <v>6139277.96</v>
      </c>
    </row>
    <row r="14" spans="1:11">
      <c r="A14" s="466" t="s">
        <v>704</v>
      </c>
      <c r="B14" s="368" t="s">
        <v>705</v>
      </c>
      <c r="C14" s="368" t="s">
        <v>109</v>
      </c>
      <c r="D14" s="369"/>
      <c r="E14" s="369"/>
      <c r="F14" s="369"/>
      <c r="G14" s="368"/>
      <c r="H14" s="464">
        <v>90</v>
      </c>
      <c r="I14" s="464">
        <v>6750</v>
      </c>
      <c r="J14" s="461" t="s">
        <v>697</v>
      </c>
      <c r="K14" s="465">
        <v>5223185.4099999992</v>
      </c>
    </row>
    <row r="15" spans="1:11">
      <c r="A15" s="462" t="s">
        <v>706</v>
      </c>
      <c r="B15" s="368" t="s">
        <v>707</v>
      </c>
      <c r="C15" s="368" t="s">
        <v>109</v>
      </c>
      <c r="D15" s="369"/>
      <c r="E15" s="369">
        <v>0.1</v>
      </c>
      <c r="F15" s="369">
        <v>0.24</v>
      </c>
      <c r="G15" s="368"/>
      <c r="H15" s="464"/>
      <c r="I15" s="464"/>
      <c r="J15" s="461" t="s">
        <v>697</v>
      </c>
      <c r="K15" s="465">
        <v>3680710.1900000004</v>
      </c>
    </row>
    <row r="16" spans="1:11" ht="12" thickBot="1">
      <c r="A16" s="466" t="s">
        <v>708</v>
      </c>
      <c r="B16" s="368" t="s">
        <v>709</v>
      </c>
      <c r="C16" s="368" t="s">
        <v>710</v>
      </c>
      <c r="D16" s="369"/>
      <c r="E16" s="369"/>
      <c r="F16" s="369"/>
      <c r="G16" s="368"/>
      <c r="H16" s="464">
        <v>7.5</v>
      </c>
      <c r="I16" s="464">
        <v>6300</v>
      </c>
      <c r="J16" s="461" t="s">
        <v>697</v>
      </c>
      <c r="K16" s="465">
        <v>87225</v>
      </c>
    </row>
    <row r="17" spans="1:11" ht="12" thickBot="1">
      <c r="A17" s="442" t="s">
        <v>191</v>
      </c>
      <c r="B17" s="467"/>
      <c r="C17" s="467"/>
      <c r="D17" s="468"/>
      <c r="E17" s="468"/>
      <c r="F17" s="468"/>
      <c r="G17" s="467"/>
      <c r="H17" s="469"/>
      <c r="I17" s="469"/>
      <c r="J17" s="470"/>
      <c r="K17" s="471">
        <v>5153735.5199999996</v>
      </c>
    </row>
    <row r="18" spans="1:11" ht="12" thickBot="1">
      <c r="A18" s="447" t="s">
        <v>711</v>
      </c>
      <c r="B18" s="472" t="s">
        <v>712</v>
      </c>
      <c r="C18" s="472" t="s">
        <v>109</v>
      </c>
      <c r="D18" s="473"/>
      <c r="E18" s="473"/>
      <c r="F18" s="473"/>
      <c r="G18" s="472"/>
      <c r="H18" s="474">
        <v>725</v>
      </c>
      <c r="I18" s="474">
        <v>82500</v>
      </c>
      <c r="J18" s="461" t="s">
        <v>697</v>
      </c>
      <c r="K18" s="475">
        <v>5153735.5199999996</v>
      </c>
    </row>
    <row r="19" spans="1:11" ht="12" thickBot="1">
      <c r="A19" s="442" t="s">
        <v>179</v>
      </c>
      <c r="B19" s="467"/>
      <c r="C19" s="467"/>
      <c r="D19" s="468"/>
      <c r="E19" s="468"/>
      <c r="F19" s="468"/>
      <c r="G19" s="467"/>
      <c r="H19" s="469"/>
      <c r="I19" s="469"/>
      <c r="J19" s="470"/>
      <c r="K19" s="454">
        <v>10611950.630000001</v>
      </c>
    </row>
    <row r="20" spans="1:11">
      <c r="A20" s="462" t="s">
        <v>713</v>
      </c>
      <c r="B20" s="368" t="s">
        <v>714</v>
      </c>
      <c r="C20" s="368" t="s">
        <v>715</v>
      </c>
      <c r="D20" s="369"/>
      <c r="E20" s="369">
        <v>0.05</v>
      </c>
      <c r="F20" s="369">
        <v>0.2</v>
      </c>
      <c r="G20" s="368"/>
      <c r="H20" s="464"/>
      <c r="I20" s="464"/>
      <c r="J20" s="461" t="s">
        <v>697</v>
      </c>
      <c r="K20" s="476">
        <v>9406810</v>
      </c>
    </row>
    <row r="21" spans="1:11">
      <c r="A21" s="462" t="s">
        <v>716</v>
      </c>
      <c r="B21" s="368" t="s">
        <v>717</v>
      </c>
      <c r="C21" s="368" t="s">
        <v>715</v>
      </c>
      <c r="D21" s="369"/>
      <c r="E21" s="369"/>
      <c r="F21" s="369"/>
      <c r="G21" s="368"/>
      <c r="H21" s="464"/>
      <c r="I21" s="464"/>
      <c r="J21" s="461" t="s">
        <v>697</v>
      </c>
      <c r="K21" s="465">
        <v>785560</v>
      </c>
    </row>
    <row r="22" spans="1:11">
      <c r="A22" s="477" t="s">
        <v>718</v>
      </c>
      <c r="B22" s="368" t="s">
        <v>719</v>
      </c>
      <c r="C22" s="368" t="s">
        <v>720</v>
      </c>
      <c r="D22" s="369"/>
      <c r="E22" s="369"/>
      <c r="F22" s="369"/>
      <c r="G22" s="368"/>
      <c r="H22" s="478">
        <v>450</v>
      </c>
      <c r="I22" s="464">
        <v>4500</v>
      </c>
      <c r="J22" s="461" t="s">
        <v>697</v>
      </c>
      <c r="K22" s="479">
        <v>405930.63</v>
      </c>
    </row>
    <row r="23" spans="1:11" ht="12" thickBot="1">
      <c r="A23" s="455" t="s">
        <v>290</v>
      </c>
      <c r="B23" s="456" t="s">
        <v>696</v>
      </c>
      <c r="C23" s="456" t="s">
        <v>109</v>
      </c>
      <c r="D23" s="457"/>
      <c r="E23" s="458">
        <v>8.0000000000000002E-3</v>
      </c>
      <c r="F23" s="457">
        <v>0.09</v>
      </c>
      <c r="G23" s="456"/>
      <c r="H23" s="460"/>
      <c r="I23" s="460"/>
      <c r="J23" s="480" t="s">
        <v>697</v>
      </c>
      <c r="K23" s="481">
        <v>13650</v>
      </c>
    </row>
    <row r="24" spans="1:11" ht="12" thickBot="1">
      <c r="A24" s="442" t="s">
        <v>152</v>
      </c>
      <c r="B24" s="467"/>
      <c r="C24" s="467"/>
      <c r="D24" s="468"/>
      <c r="E24" s="468"/>
      <c r="F24" s="468"/>
      <c r="G24" s="467"/>
      <c r="H24" s="469"/>
      <c r="I24" s="469"/>
      <c r="J24" s="470"/>
      <c r="K24" s="454">
        <v>262005.86</v>
      </c>
    </row>
    <row r="25" spans="1:11" ht="12" thickBot="1">
      <c r="A25" s="482" t="s">
        <v>721</v>
      </c>
      <c r="B25" s="472" t="s">
        <v>722</v>
      </c>
      <c r="C25" s="472" t="s">
        <v>720</v>
      </c>
      <c r="D25" s="473"/>
      <c r="E25" s="473"/>
      <c r="F25" s="473"/>
      <c r="G25" s="472"/>
      <c r="H25" s="474"/>
      <c r="I25" s="474"/>
      <c r="J25" s="483" t="s">
        <v>697</v>
      </c>
      <c r="K25" s="484">
        <v>262005.86</v>
      </c>
    </row>
    <row r="26" spans="1:11" ht="12" thickBot="1">
      <c r="A26" s="442" t="s">
        <v>151</v>
      </c>
      <c r="B26" s="467"/>
      <c r="C26" s="467"/>
      <c r="D26" s="468"/>
      <c r="E26" s="468"/>
      <c r="F26" s="468"/>
      <c r="G26" s="467"/>
      <c r="H26" s="469"/>
      <c r="I26" s="469"/>
      <c r="J26" s="470"/>
      <c r="K26" s="454">
        <v>2492164</v>
      </c>
    </row>
    <row r="27" spans="1:11" ht="12" thickBot="1">
      <c r="A27" s="447" t="s">
        <v>723</v>
      </c>
      <c r="B27" s="472" t="s">
        <v>724</v>
      </c>
      <c r="C27" s="472" t="s">
        <v>715</v>
      </c>
      <c r="D27" s="473"/>
      <c r="E27" s="473"/>
      <c r="F27" s="473"/>
      <c r="G27" s="472"/>
      <c r="H27" s="474"/>
      <c r="I27" s="474"/>
      <c r="J27" s="483" t="s">
        <v>697</v>
      </c>
      <c r="K27" s="484">
        <v>2492164</v>
      </c>
    </row>
    <row r="28" spans="1:11" ht="12" thickBot="1">
      <c r="A28" s="442" t="s">
        <v>137</v>
      </c>
      <c r="B28" s="467"/>
      <c r="C28" s="467"/>
      <c r="D28" s="468"/>
      <c r="E28" s="468"/>
      <c r="F28" s="468"/>
      <c r="G28" s="467"/>
      <c r="H28" s="469"/>
      <c r="I28" s="469"/>
      <c r="J28" s="470"/>
      <c r="K28" s="471">
        <v>12000</v>
      </c>
    </row>
    <row r="29" spans="1:11" ht="12" thickBot="1">
      <c r="A29" s="482" t="s">
        <v>725</v>
      </c>
      <c r="B29" s="472" t="s">
        <v>726</v>
      </c>
      <c r="C29" s="472" t="s">
        <v>109</v>
      </c>
      <c r="D29" s="473"/>
      <c r="E29" s="473"/>
      <c r="F29" s="473"/>
      <c r="G29" s="472"/>
      <c r="H29" s="474"/>
      <c r="I29" s="474"/>
      <c r="J29" s="485" t="s">
        <v>727</v>
      </c>
      <c r="K29" s="475">
        <v>12000</v>
      </c>
    </row>
    <row r="30" spans="1:11" ht="12" thickBot="1">
      <c r="A30" s="442" t="s">
        <v>136</v>
      </c>
      <c r="B30" s="467"/>
      <c r="C30" s="467"/>
      <c r="D30" s="468"/>
      <c r="E30" s="468"/>
      <c r="F30" s="468"/>
      <c r="G30" s="467"/>
      <c r="H30" s="469"/>
      <c r="I30" s="469"/>
      <c r="J30" s="470"/>
      <c r="K30" s="454">
        <v>38616097.759999998</v>
      </c>
    </row>
    <row r="31" spans="1:11">
      <c r="A31" s="455" t="s">
        <v>728</v>
      </c>
      <c r="B31" s="456" t="s">
        <v>729</v>
      </c>
      <c r="C31" s="456" t="s">
        <v>109</v>
      </c>
      <c r="D31" s="457"/>
      <c r="E31" s="457"/>
      <c r="F31" s="457"/>
      <c r="G31" s="456"/>
      <c r="H31" s="460"/>
      <c r="I31" s="460"/>
      <c r="J31" s="486" t="s">
        <v>697</v>
      </c>
      <c r="K31" s="487">
        <v>10847236.300000001</v>
      </c>
    </row>
    <row r="32" spans="1:11">
      <c r="A32" s="462" t="s">
        <v>298</v>
      </c>
      <c r="B32" s="368" t="s">
        <v>730</v>
      </c>
      <c r="C32" s="368" t="s">
        <v>715</v>
      </c>
      <c r="D32" s="369"/>
      <c r="E32" s="369"/>
      <c r="F32" s="369"/>
      <c r="G32" s="368"/>
      <c r="H32" s="464">
        <v>12</v>
      </c>
      <c r="I32" s="464">
        <v>30540</v>
      </c>
      <c r="J32" s="486" t="s">
        <v>697</v>
      </c>
      <c r="K32" s="465">
        <v>8513142.8000000007</v>
      </c>
    </row>
    <row r="33" spans="1:11">
      <c r="A33" s="488" t="s">
        <v>731</v>
      </c>
      <c r="B33" s="489" t="s">
        <v>732</v>
      </c>
      <c r="C33" s="489" t="s">
        <v>109</v>
      </c>
      <c r="D33" s="490"/>
      <c r="E33" s="490"/>
      <c r="F33" s="490"/>
      <c r="G33" s="489"/>
      <c r="H33" s="491">
        <v>210</v>
      </c>
      <c r="I33" s="491">
        <v>21000</v>
      </c>
      <c r="J33" s="486" t="s">
        <v>697</v>
      </c>
      <c r="K33" s="479">
        <v>7721585.5599999996</v>
      </c>
    </row>
    <row r="34" spans="1:11">
      <c r="A34" s="462" t="s">
        <v>733</v>
      </c>
      <c r="B34" s="368" t="s">
        <v>734</v>
      </c>
      <c r="C34" s="368" t="s">
        <v>109</v>
      </c>
      <c r="D34" s="369">
        <v>0.02</v>
      </c>
      <c r="E34" s="369"/>
      <c r="F34" s="369"/>
      <c r="G34" s="368"/>
      <c r="H34" s="464"/>
      <c r="I34" s="464"/>
      <c r="J34" s="461" t="s">
        <v>697</v>
      </c>
      <c r="K34" s="465">
        <v>4210170.1399999997</v>
      </c>
    </row>
    <row r="35" spans="1:11">
      <c r="A35" s="462" t="s">
        <v>735</v>
      </c>
      <c r="B35" s="368" t="s">
        <v>736</v>
      </c>
      <c r="C35" s="368" t="s">
        <v>109</v>
      </c>
      <c r="D35" s="369"/>
      <c r="E35" s="369"/>
      <c r="F35" s="369"/>
      <c r="G35" s="368"/>
      <c r="H35" s="464"/>
      <c r="I35" s="464"/>
      <c r="J35" s="461" t="s">
        <v>697</v>
      </c>
      <c r="K35" s="465">
        <v>3182853</v>
      </c>
    </row>
    <row r="36" spans="1:11">
      <c r="A36" s="462" t="s">
        <v>737</v>
      </c>
      <c r="B36" s="368" t="s">
        <v>738</v>
      </c>
      <c r="C36" s="368" t="s">
        <v>739</v>
      </c>
      <c r="D36" s="369"/>
      <c r="E36" s="369"/>
      <c r="F36" s="369"/>
      <c r="G36" s="368"/>
      <c r="H36" s="464"/>
      <c r="I36" s="464"/>
      <c r="J36" s="461" t="s">
        <v>697</v>
      </c>
      <c r="K36" s="465">
        <v>1571091.1099999999</v>
      </c>
    </row>
    <row r="37" spans="1:11">
      <c r="A37" s="488" t="s">
        <v>740</v>
      </c>
      <c r="B37" s="489" t="s">
        <v>741</v>
      </c>
      <c r="C37" s="489"/>
      <c r="D37" s="490"/>
      <c r="E37" s="490"/>
      <c r="F37" s="490"/>
      <c r="G37" s="489"/>
      <c r="H37" s="492"/>
      <c r="I37" s="492"/>
      <c r="J37" s="486" t="s">
        <v>697</v>
      </c>
      <c r="K37" s="479">
        <v>1136649.8599999999</v>
      </c>
    </row>
    <row r="38" spans="1:11">
      <c r="A38" s="488" t="s">
        <v>742</v>
      </c>
      <c r="B38" s="489" t="s">
        <v>743</v>
      </c>
      <c r="C38" s="489"/>
      <c r="D38" s="490"/>
      <c r="E38" s="490"/>
      <c r="F38" s="490"/>
      <c r="G38" s="489"/>
      <c r="H38" s="492"/>
      <c r="I38" s="492"/>
      <c r="J38" s="486"/>
      <c r="K38" s="479">
        <v>1046815.6699999999</v>
      </c>
    </row>
    <row r="39" spans="1:11">
      <c r="A39" s="462" t="s">
        <v>744</v>
      </c>
      <c r="B39" s="368" t="s">
        <v>745</v>
      </c>
      <c r="C39" s="368" t="s">
        <v>715</v>
      </c>
      <c r="D39" s="369"/>
      <c r="E39" s="369"/>
      <c r="F39" s="369"/>
      <c r="G39" s="368"/>
      <c r="H39" s="464"/>
      <c r="I39" s="464"/>
      <c r="J39" s="461" t="s">
        <v>697</v>
      </c>
      <c r="K39" s="465">
        <v>199000</v>
      </c>
    </row>
    <row r="40" spans="1:11" ht="12" thickBot="1">
      <c r="A40" s="488" t="s">
        <v>746</v>
      </c>
      <c r="B40" s="489" t="s">
        <v>747</v>
      </c>
      <c r="C40" s="489"/>
      <c r="D40" s="490"/>
      <c r="E40" s="490"/>
      <c r="F40" s="490"/>
      <c r="G40" s="489"/>
      <c r="H40" s="492"/>
      <c r="I40" s="492"/>
      <c r="J40" s="486" t="s">
        <v>697</v>
      </c>
      <c r="K40" s="479">
        <v>187553.32</v>
      </c>
    </row>
    <row r="41" spans="1:11" ht="12" thickBot="1">
      <c r="A41" s="493" t="s">
        <v>108</v>
      </c>
      <c r="B41" s="494"/>
      <c r="C41" s="494"/>
      <c r="D41" s="495"/>
      <c r="E41" s="495"/>
      <c r="F41" s="495"/>
      <c r="G41" s="494"/>
      <c r="H41" s="496"/>
      <c r="I41" s="496"/>
      <c r="J41" s="497"/>
      <c r="K41" s="498">
        <v>151387089.89999998</v>
      </c>
    </row>
  </sheetData>
  <mergeCells count="10">
    <mergeCell ref="H5:I5"/>
    <mergeCell ref="J5:J6"/>
    <mergeCell ref="K10:K11"/>
    <mergeCell ref="D11:F11"/>
    <mergeCell ref="A5:A6"/>
    <mergeCell ref="B5:B6"/>
    <mergeCell ref="C5:C6"/>
    <mergeCell ref="D5:D6"/>
    <mergeCell ref="E5:F5"/>
    <mergeCell ref="G5:G6"/>
  </mergeCells>
  <pageMargins left="0.39370078740157483" right="0" top="0.35433070866141736" bottom="0.35433070866141736" header="0.31496062992125984" footer="0.31496062992125984"/>
  <pageSetup paperSize="9"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Z987"/>
  <sheetViews>
    <sheetView showGridLines="0" zoomScaleNormal="100" workbookViewId="0"/>
  </sheetViews>
  <sheetFormatPr baseColWidth="10" defaultColWidth="14.42578125" defaultRowHeight="15" customHeight="1"/>
  <cols>
    <col min="1" max="1" width="44.28515625" style="503" customWidth="1"/>
    <col min="2" max="2" width="31.140625" style="503" customWidth="1"/>
    <col min="3" max="3" width="21.7109375" style="503" customWidth="1"/>
    <col min="4" max="6" width="14.42578125" style="503"/>
    <col min="7" max="7" width="18.42578125" style="503" customWidth="1"/>
    <col min="8" max="8" width="15.42578125" style="503" customWidth="1"/>
    <col min="9" max="9" width="22.140625" style="503" customWidth="1"/>
    <col min="10" max="10" width="20.28515625" style="503" customWidth="1"/>
    <col min="11" max="11" width="18.28515625" style="503" customWidth="1"/>
    <col min="12" max="256" width="14.42578125" style="503"/>
    <col min="257" max="257" width="44.28515625" style="503" customWidth="1"/>
    <col min="258" max="258" width="31.140625" style="503" customWidth="1"/>
    <col min="259" max="259" width="21.7109375" style="503" customWidth="1"/>
    <col min="260" max="262" width="14.42578125" style="503"/>
    <col min="263" max="263" width="18.42578125" style="503" customWidth="1"/>
    <col min="264" max="264" width="15.42578125" style="503" customWidth="1"/>
    <col min="265" max="265" width="22.140625" style="503" customWidth="1"/>
    <col min="266" max="266" width="20.28515625" style="503" customWidth="1"/>
    <col min="267" max="267" width="18.28515625" style="503" customWidth="1"/>
    <col min="268" max="512" width="14.42578125" style="503"/>
    <col min="513" max="513" width="44.28515625" style="503" customWidth="1"/>
    <col min="514" max="514" width="31.140625" style="503" customWidth="1"/>
    <col min="515" max="515" width="21.7109375" style="503" customWidth="1"/>
    <col min="516" max="518" width="14.42578125" style="503"/>
    <col min="519" max="519" width="18.42578125" style="503" customWidth="1"/>
    <col min="520" max="520" width="15.42578125" style="503" customWidth="1"/>
    <col min="521" max="521" width="22.140625" style="503" customWidth="1"/>
    <col min="522" max="522" width="20.28515625" style="503" customWidth="1"/>
    <col min="523" max="523" width="18.28515625" style="503" customWidth="1"/>
    <col min="524" max="768" width="14.42578125" style="503"/>
    <col min="769" max="769" width="44.28515625" style="503" customWidth="1"/>
    <col min="770" max="770" width="31.140625" style="503" customWidth="1"/>
    <col min="771" max="771" width="21.7109375" style="503" customWidth="1"/>
    <col min="772" max="774" width="14.42578125" style="503"/>
    <col min="775" max="775" width="18.42578125" style="503" customWidth="1"/>
    <col min="776" max="776" width="15.42578125" style="503" customWidth="1"/>
    <col min="777" max="777" width="22.140625" style="503" customWidth="1"/>
    <col min="778" max="778" width="20.28515625" style="503" customWidth="1"/>
    <col min="779" max="779" width="18.28515625" style="503" customWidth="1"/>
    <col min="780" max="1024" width="14.42578125" style="503"/>
    <col min="1025" max="1025" width="44.28515625" style="503" customWidth="1"/>
    <col min="1026" max="1026" width="31.140625" style="503" customWidth="1"/>
    <col min="1027" max="1027" width="21.7109375" style="503" customWidth="1"/>
    <col min="1028" max="1030" width="14.42578125" style="503"/>
    <col min="1031" max="1031" width="18.42578125" style="503" customWidth="1"/>
    <col min="1032" max="1032" width="15.42578125" style="503" customWidth="1"/>
    <col min="1033" max="1033" width="22.140625" style="503" customWidth="1"/>
    <col min="1034" max="1034" width="20.28515625" style="503" customWidth="1"/>
    <col min="1035" max="1035" width="18.28515625" style="503" customWidth="1"/>
    <col min="1036" max="1280" width="14.42578125" style="503"/>
    <col min="1281" max="1281" width="44.28515625" style="503" customWidth="1"/>
    <col min="1282" max="1282" width="31.140625" style="503" customWidth="1"/>
    <col min="1283" max="1283" width="21.7109375" style="503" customWidth="1"/>
    <col min="1284" max="1286" width="14.42578125" style="503"/>
    <col min="1287" max="1287" width="18.42578125" style="503" customWidth="1"/>
    <col min="1288" max="1288" width="15.42578125" style="503" customWidth="1"/>
    <col min="1289" max="1289" width="22.140625" style="503" customWidth="1"/>
    <col min="1290" max="1290" width="20.28515625" style="503" customWidth="1"/>
    <col min="1291" max="1291" width="18.28515625" style="503" customWidth="1"/>
    <col min="1292" max="1536" width="14.42578125" style="503"/>
    <col min="1537" max="1537" width="44.28515625" style="503" customWidth="1"/>
    <col min="1538" max="1538" width="31.140625" style="503" customWidth="1"/>
    <col min="1539" max="1539" width="21.7109375" style="503" customWidth="1"/>
    <col min="1540" max="1542" width="14.42578125" style="503"/>
    <col min="1543" max="1543" width="18.42578125" style="503" customWidth="1"/>
    <col min="1544" max="1544" width="15.42578125" style="503" customWidth="1"/>
    <col min="1545" max="1545" width="22.140625" style="503" customWidth="1"/>
    <col min="1546" max="1546" width="20.28515625" style="503" customWidth="1"/>
    <col min="1547" max="1547" width="18.28515625" style="503" customWidth="1"/>
    <col min="1548" max="1792" width="14.42578125" style="503"/>
    <col min="1793" max="1793" width="44.28515625" style="503" customWidth="1"/>
    <col min="1794" max="1794" width="31.140625" style="503" customWidth="1"/>
    <col min="1795" max="1795" width="21.7109375" style="503" customWidth="1"/>
    <col min="1796" max="1798" width="14.42578125" style="503"/>
    <col min="1799" max="1799" width="18.42578125" style="503" customWidth="1"/>
    <col min="1800" max="1800" width="15.42578125" style="503" customWidth="1"/>
    <col min="1801" max="1801" width="22.140625" style="503" customWidth="1"/>
    <col min="1802" max="1802" width="20.28515625" style="503" customWidth="1"/>
    <col min="1803" max="1803" width="18.28515625" style="503" customWidth="1"/>
    <col min="1804" max="2048" width="14.42578125" style="503"/>
    <col min="2049" max="2049" width="44.28515625" style="503" customWidth="1"/>
    <col min="2050" max="2050" width="31.140625" style="503" customWidth="1"/>
    <col min="2051" max="2051" width="21.7109375" style="503" customWidth="1"/>
    <col min="2052" max="2054" width="14.42578125" style="503"/>
    <col min="2055" max="2055" width="18.42578125" style="503" customWidth="1"/>
    <col min="2056" max="2056" width="15.42578125" style="503" customWidth="1"/>
    <col min="2057" max="2057" width="22.140625" style="503" customWidth="1"/>
    <col min="2058" max="2058" width="20.28515625" style="503" customWidth="1"/>
    <col min="2059" max="2059" width="18.28515625" style="503" customWidth="1"/>
    <col min="2060" max="2304" width="14.42578125" style="503"/>
    <col min="2305" max="2305" width="44.28515625" style="503" customWidth="1"/>
    <col min="2306" max="2306" width="31.140625" style="503" customWidth="1"/>
    <col min="2307" max="2307" width="21.7109375" style="503" customWidth="1"/>
    <col min="2308" max="2310" width="14.42578125" style="503"/>
    <col min="2311" max="2311" width="18.42578125" style="503" customWidth="1"/>
    <col min="2312" max="2312" width="15.42578125" style="503" customWidth="1"/>
    <col min="2313" max="2313" width="22.140625" style="503" customWidth="1"/>
    <col min="2314" max="2314" width="20.28515625" style="503" customWidth="1"/>
    <col min="2315" max="2315" width="18.28515625" style="503" customWidth="1"/>
    <col min="2316" max="2560" width="14.42578125" style="503"/>
    <col min="2561" max="2561" width="44.28515625" style="503" customWidth="1"/>
    <col min="2562" max="2562" width="31.140625" style="503" customWidth="1"/>
    <col min="2563" max="2563" width="21.7109375" style="503" customWidth="1"/>
    <col min="2564" max="2566" width="14.42578125" style="503"/>
    <col min="2567" max="2567" width="18.42578125" style="503" customWidth="1"/>
    <col min="2568" max="2568" width="15.42578125" style="503" customWidth="1"/>
    <col min="2569" max="2569" width="22.140625" style="503" customWidth="1"/>
    <col min="2570" max="2570" width="20.28515625" style="503" customWidth="1"/>
    <col min="2571" max="2571" width="18.28515625" style="503" customWidth="1"/>
    <col min="2572" max="2816" width="14.42578125" style="503"/>
    <col min="2817" max="2817" width="44.28515625" style="503" customWidth="1"/>
    <col min="2818" max="2818" width="31.140625" style="503" customWidth="1"/>
    <col min="2819" max="2819" width="21.7109375" style="503" customWidth="1"/>
    <col min="2820" max="2822" width="14.42578125" style="503"/>
    <col min="2823" max="2823" width="18.42578125" style="503" customWidth="1"/>
    <col min="2824" max="2824" width="15.42578125" style="503" customWidth="1"/>
    <col min="2825" max="2825" width="22.140625" style="503" customWidth="1"/>
    <col min="2826" max="2826" width="20.28515625" style="503" customWidth="1"/>
    <col min="2827" max="2827" width="18.28515625" style="503" customWidth="1"/>
    <col min="2828" max="3072" width="14.42578125" style="503"/>
    <col min="3073" max="3073" width="44.28515625" style="503" customWidth="1"/>
    <col min="3074" max="3074" width="31.140625" style="503" customWidth="1"/>
    <col min="3075" max="3075" width="21.7109375" style="503" customWidth="1"/>
    <col min="3076" max="3078" width="14.42578125" style="503"/>
    <col min="3079" max="3079" width="18.42578125" style="503" customWidth="1"/>
    <col min="3080" max="3080" width="15.42578125" style="503" customWidth="1"/>
    <col min="3081" max="3081" width="22.140625" style="503" customWidth="1"/>
    <col min="3082" max="3082" width="20.28515625" style="503" customWidth="1"/>
    <col min="3083" max="3083" width="18.28515625" style="503" customWidth="1"/>
    <col min="3084" max="3328" width="14.42578125" style="503"/>
    <col min="3329" max="3329" width="44.28515625" style="503" customWidth="1"/>
    <col min="3330" max="3330" width="31.140625" style="503" customWidth="1"/>
    <col min="3331" max="3331" width="21.7109375" style="503" customWidth="1"/>
    <col min="3332" max="3334" width="14.42578125" style="503"/>
    <col min="3335" max="3335" width="18.42578125" style="503" customWidth="1"/>
    <col min="3336" max="3336" width="15.42578125" style="503" customWidth="1"/>
    <col min="3337" max="3337" width="22.140625" style="503" customWidth="1"/>
    <col min="3338" max="3338" width="20.28515625" style="503" customWidth="1"/>
    <col min="3339" max="3339" width="18.28515625" style="503" customWidth="1"/>
    <col min="3340" max="3584" width="14.42578125" style="503"/>
    <col min="3585" max="3585" width="44.28515625" style="503" customWidth="1"/>
    <col min="3586" max="3586" width="31.140625" style="503" customWidth="1"/>
    <col min="3587" max="3587" width="21.7109375" style="503" customWidth="1"/>
    <col min="3588" max="3590" width="14.42578125" style="503"/>
    <col min="3591" max="3591" width="18.42578125" style="503" customWidth="1"/>
    <col min="3592" max="3592" width="15.42578125" style="503" customWidth="1"/>
    <col min="3593" max="3593" width="22.140625" style="503" customWidth="1"/>
    <col min="3594" max="3594" width="20.28515625" style="503" customWidth="1"/>
    <col min="3595" max="3595" width="18.28515625" style="503" customWidth="1"/>
    <col min="3596" max="3840" width="14.42578125" style="503"/>
    <col min="3841" max="3841" width="44.28515625" style="503" customWidth="1"/>
    <col min="3842" max="3842" width="31.140625" style="503" customWidth="1"/>
    <col min="3843" max="3843" width="21.7109375" style="503" customWidth="1"/>
    <col min="3844" max="3846" width="14.42578125" style="503"/>
    <col min="3847" max="3847" width="18.42578125" style="503" customWidth="1"/>
    <col min="3848" max="3848" width="15.42578125" style="503" customWidth="1"/>
    <col min="3849" max="3849" width="22.140625" style="503" customWidth="1"/>
    <col min="3850" max="3850" width="20.28515625" style="503" customWidth="1"/>
    <col min="3851" max="3851" width="18.28515625" style="503" customWidth="1"/>
    <col min="3852" max="4096" width="14.42578125" style="503"/>
    <col min="4097" max="4097" width="44.28515625" style="503" customWidth="1"/>
    <col min="4098" max="4098" width="31.140625" style="503" customWidth="1"/>
    <col min="4099" max="4099" width="21.7109375" style="503" customWidth="1"/>
    <col min="4100" max="4102" width="14.42578125" style="503"/>
    <col min="4103" max="4103" width="18.42578125" style="503" customWidth="1"/>
    <col min="4104" max="4104" width="15.42578125" style="503" customWidth="1"/>
    <col min="4105" max="4105" width="22.140625" style="503" customWidth="1"/>
    <col min="4106" max="4106" width="20.28515625" style="503" customWidth="1"/>
    <col min="4107" max="4107" width="18.28515625" style="503" customWidth="1"/>
    <col min="4108" max="4352" width="14.42578125" style="503"/>
    <col min="4353" max="4353" width="44.28515625" style="503" customWidth="1"/>
    <col min="4354" max="4354" width="31.140625" style="503" customWidth="1"/>
    <col min="4355" max="4355" width="21.7109375" style="503" customWidth="1"/>
    <col min="4356" max="4358" width="14.42578125" style="503"/>
    <col min="4359" max="4359" width="18.42578125" style="503" customWidth="1"/>
    <col min="4360" max="4360" width="15.42578125" style="503" customWidth="1"/>
    <col min="4361" max="4361" width="22.140625" style="503" customWidth="1"/>
    <col min="4362" max="4362" width="20.28515625" style="503" customWidth="1"/>
    <col min="4363" max="4363" width="18.28515625" style="503" customWidth="1"/>
    <col min="4364" max="4608" width="14.42578125" style="503"/>
    <col min="4609" max="4609" width="44.28515625" style="503" customWidth="1"/>
    <col min="4610" max="4610" width="31.140625" style="503" customWidth="1"/>
    <col min="4611" max="4611" width="21.7109375" style="503" customWidth="1"/>
    <col min="4612" max="4614" width="14.42578125" style="503"/>
    <col min="4615" max="4615" width="18.42578125" style="503" customWidth="1"/>
    <col min="4616" max="4616" width="15.42578125" style="503" customWidth="1"/>
    <col min="4617" max="4617" width="22.140625" style="503" customWidth="1"/>
    <col min="4618" max="4618" width="20.28515625" style="503" customWidth="1"/>
    <col min="4619" max="4619" width="18.28515625" style="503" customWidth="1"/>
    <col min="4620" max="4864" width="14.42578125" style="503"/>
    <col min="4865" max="4865" width="44.28515625" style="503" customWidth="1"/>
    <col min="4866" max="4866" width="31.140625" style="503" customWidth="1"/>
    <col min="4867" max="4867" width="21.7109375" style="503" customWidth="1"/>
    <col min="4868" max="4870" width="14.42578125" style="503"/>
    <col min="4871" max="4871" width="18.42578125" style="503" customWidth="1"/>
    <col min="4872" max="4872" width="15.42578125" style="503" customWidth="1"/>
    <col min="4873" max="4873" width="22.140625" style="503" customWidth="1"/>
    <col min="4874" max="4874" width="20.28515625" style="503" customWidth="1"/>
    <col min="4875" max="4875" width="18.28515625" style="503" customWidth="1"/>
    <col min="4876" max="5120" width="14.42578125" style="503"/>
    <col min="5121" max="5121" width="44.28515625" style="503" customWidth="1"/>
    <col min="5122" max="5122" width="31.140625" style="503" customWidth="1"/>
    <col min="5123" max="5123" width="21.7109375" style="503" customWidth="1"/>
    <col min="5124" max="5126" width="14.42578125" style="503"/>
    <col min="5127" max="5127" width="18.42578125" style="503" customWidth="1"/>
    <col min="5128" max="5128" width="15.42578125" style="503" customWidth="1"/>
    <col min="5129" max="5129" width="22.140625" style="503" customWidth="1"/>
    <col min="5130" max="5130" width="20.28515625" style="503" customWidth="1"/>
    <col min="5131" max="5131" width="18.28515625" style="503" customWidth="1"/>
    <col min="5132" max="5376" width="14.42578125" style="503"/>
    <col min="5377" max="5377" width="44.28515625" style="503" customWidth="1"/>
    <col min="5378" max="5378" width="31.140625" style="503" customWidth="1"/>
    <col min="5379" max="5379" width="21.7109375" style="503" customWidth="1"/>
    <col min="5380" max="5382" width="14.42578125" style="503"/>
    <col min="5383" max="5383" width="18.42578125" style="503" customWidth="1"/>
    <col min="5384" max="5384" width="15.42578125" style="503" customWidth="1"/>
    <col min="5385" max="5385" width="22.140625" style="503" customWidth="1"/>
    <col min="5386" max="5386" width="20.28515625" style="503" customWidth="1"/>
    <col min="5387" max="5387" width="18.28515625" style="503" customWidth="1"/>
    <col min="5388" max="5632" width="14.42578125" style="503"/>
    <col min="5633" max="5633" width="44.28515625" style="503" customWidth="1"/>
    <col min="5634" max="5634" width="31.140625" style="503" customWidth="1"/>
    <col min="5635" max="5635" width="21.7109375" style="503" customWidth="1"/>
    <col min="5636" max="5638" width="14.42578125" style="503"/>
    <col min="5639" max="5639" width="18.42578125" style="503" customWidth="1"/>
    <col min="5640" max="5640" width="15.42578125" style="503" customWidth="1"/>
    <col min="5641" max="5641" width="22.140625" style="503" customWidth="1"/>
    <col min="5642" max="5642" width="20.28515625" style="503" customWidth="1"/>
    <col min="5643" max="5643" width="18.28515625" style="503" customWidth="1"/>
    <col min="5644" max="5888" width="14.42578125" style="503"/>
    <col min="5889" max="5889" width="44.28515625" style="503" customWidth="1"/>
    <col min="5890" max="5890" width="31.140625" style="503" customWidth="1"/>
    <col min="5891" max="5891" width="21.7109375" style="503" customWidth="1"/>
    <col min="5892" max="5894" width="14.42578125" style="503"/>
    <col min="5895" max="5895" width="18.42578125" style="503" customWidth="1"/>
    <col min="5896" max="5896" width="15.42578125" style="503" customWidth="1"/>
    <col min="5897" max="5897" width="22.140625" style="503" customWidth="1"/>
    <col min="5898" max="5898" width="20.28515625" style="503" customWidth="1"/>
    <col min="5899" max="5899" width="18.28515625" style="503" customWidth="1"/>
    <col min="5900" max="6144" width="14.42578125" style="503"/>
    <col min="6145" max="6145" width="44.28515625" style="503" customWidth="1"/>
    <col min="6146" max="6146" width="31.140625" style="503" customWidth="1"/>
    <col min="6147" max="6147" width="21.7109375" style="503" customWidth="1"/>
    <col min="6148" max="6150" width="14.42578125" style="503"/>
    <col min="6151" max="6151" width="18.42578125" style="503" customWidth="1"/>
    <col min="6152" max="6152" width="15.42578125" style="503" customWidth="1"/>
    <col min="6153" max="6153" width="22.140625" style="503" customWidth="1"/>
    <col min="6154" max="6154" width="20.28515625" style="503" customWidth="1"/>
    <col min="6155" max="6155" width="18.28515625" style="503" customWidth="1"/>
    <col min="6156" max="6400" width="14.42578125" style="503"/>
    <col min="6401" max="6401" width="44.28515625" style="503" customWidth="1"/>
    <col min="6402" max="6402" width="31.140625" style="503" customWidth="1"/>
    <col min="6403" max="6403" width="21.7109375" style="503" customWidth="1"/>
    <col min="6404" max="6406" width="14.42578125" style="503"/>
    <col min="6407" max="6407" width="18.42578125" style="503" customWidth="1"/>
    <col min="6408" max="6408" width="15.42578125" style="503" customWidth="1"/>
    <col min="6409" max="6409" width="22.140625" style="503" customWidth="1"/>
    <col min="6410" max="6410" width="20.28515625" style="503" customWidth="1"/>
    <col min="6411" max="6411" width="18.28515625" style="503" customWidth="1"/>
    <col min="6412" max="6656" width="14.42578125" style="503"/>
    <col min="6657" max="6657" width="44.28515625" style="503" customWidth="1"/>
    <col min="6658" max="6658" width="31.140625" style="503" customWidth="1"/>
    <col min="6659" max="6659" width="21.7109375" style="503" customWidth="1"/>
    <col min="6660" max="6662" width="14.42578125" style="503"/>
    <col min="6663" max="6663" width="18.42578125" style="503" customWidth="1"/>
    <col min="6664" max="6664" width="15.42578125" style="503" customWidth="1"/>
    <col min="6665" max="6665" width="22.140625" style="503" customWidth="1"/>
    <col min="6666" max="6666" width="20.28515625" style="503" customWidth="1"/>
    <col min="6667" max="6667" width="18.28515625" style="503" customWidth="1"/>
    <col min="6668" max="6912" width="14.42578125" style="503"/>
    <col min="6913" max="6913" width="44.28515625" style="503" customWidth="1"/>
    <col min="6914" max="6914" width="31.140625" style="503" customWidth="1"/>
    <col min="6915" max="6915" width="21.7109375" style="503" customWidth="1"/>
    <col min="6916" max="6918" width="14.42578125" style="503"/>
    <col min="6919" max="6919" width="18.42578125" style="503" customWidth="1"/>
    <col min="6920" max="6920" width="15.42578125" style="503" customWidth="1"/>
    <col min="6921" max="6921" width="22.140625" style="503" customWidth="1"/>
    <col min="6922" max="6922" width="20.28515625" style="503" customWidth="1"/>
    <col min="6923" max="6923" width="18.28515625" style="503" customWidth="1"/>
    <col min="6924" max="7168" width="14.42578125" style="503"/>
    <col min="7169" max="7169" width="44.28515625" style="503" customWidth="1"/>
    <col min="7170" max="7170" width="31.140625" style="503" customWidth="1"/>
    <col min="7171" max="7171" width="21.7109375" style="503" customWidth="1"/>
    <col min="7172" max="7174" width="14.42578125" style="503"/>
    <col min="7175" max="7175" width="18.42578125" style="503" customWidth="1"/>
    <col min="7176" max="7176" width="15.42578125" style="503" customWidth="1"/>
    <col min="7177" max="7177" width="22.140625" style="503" customWidth="1"/>
    <col min="7178" max="7178" width="20.28515625" style="503" customWidth="1"/>
    <col min="7179" max="7179" width="18.28515625" style="503" customWidth="1"/>
    <col min="7180" max="7424" width="14.42578125" style="503"/>
    <col min="7425" max="7425" width="44.28515625" style="503" customWidth="1"/>
    <col min="7426" max="7426" width="31.140625" style="503" customWidth="1"/>
    <col min="7427" max="7427" width="21.7109375" style="503" customWidth="1"/>
    <col min="7428" max="7430" width="14.42578125" style="503"/>
    <col min="7431" max="7431" width="18.42578125" style="503" customWidth="1"/>
    <col min="7432" max="7432" width="15.42578125" style="503" customWidth="1"/>
    <col min="7433" max="7433" width="22.140625" style="503" customWidth="1"/>
    <col min="7434" max="7434" width="20.28515625" style="503" customWidth="1"/>
    <col min="7435" max="7435" width="18.28515625" style="503" customWidth="1"/>
    <col min="7436" max="7680" width="14.42578125" style="503"/>
    <col min="7681" max="7681" width="44.28515625" style="503" customWidth="1"/>
    <col min="7682" max="7682" width="31.140625" style="503" customWidth="1"/>
    <col min="7683" max="7683" width="21.7109375" style="503" customWidth="1"/>
    <col min="7684" max="7686" width="14.42578125" style="503"/>
    <col min="7687" max="7687" width="18.42578125" style="503" customWidth="1"/>
    <col min="7688" max="7688" width="15.42578125" style="503" customWidth="1"/>
    <col min="7689" max="7689" width="22.140625" style="503" customWidth="1"/>
    <col min="7690" max="7690" width="20.28515625" style="503" customWidth="1"/>
    <col min="7691" max="7691" width="18.28515625" style="503" customWidth="1"/>
    <col min="7692" max="7936" width="14.42578125" style="503"/>
    <col min="7937" max="7937" width="44.28515625" style="503" customWidth="1"/>
    <col min="7938" max="7938" width="31.140625" style="503" customWidth="1"/>
    <col min="7939" max="7939" width="21.7109375" style="503" customWidth="1"/>
    <col min="7940" max="7942" width="14.42578125" style="503"/>
    <col min="7943" max="7943" width="18.42578125" style="503" customWidth="1"/>
    <col min="7944" max="7944" width="15.42578125" style="503" customWidth="1"/>
    <col min="7945" max="7945" width="22.140625" style="503" customWidth="1"/>
    <col min="7946" max="7946" width="20.28515625" style="503" customWidth="1"/>
    <col min="7947" max="7947" width="18.28515625" style="503" customWidth="1"/>
    <col min="7948" max="8192" width="14.42578125" style="503"/>
    <col min="8193" max="8193" width="44.28515625" style="503" customWidth="1"/>
    <col min="8194" max="8194" width="31.140625" style="503" customWidth="1"/>
    <col min="8195" max="8195" width="21.7109375" style="503" customWidth="1"/>
    <col min="8196" max="8198" width="14.42578125" style="503"/>
    <col min="8199" max="8199" width="18.42578125" style="503" customWidth="1"/>
    <col min="8200" max="8200" width="15.42578125" style="503" customWidth="1"/>
    <col min="8201" max="8201" width="22.140625" style="503" customWidth="1"/>
    <col min="8202" max="8202" width="20.28515625" style="503" customWidth="1"/>
    <col min="8203" max="8203" width="18.28515625" style="503" customWidth="1"/>
    <col min="8204" max="8448" width="14.42578125" style="503"/>
    <col min="8449" max="8449" width="44.28515625" style="503" customWidth="1"/>
    <col min="8450" max="8450" width="31.140625" style="503" customWidth="1"/>
    <col min="8451" max="8451" width="21.7109375" style="503" customWidth="1"/>
    <col min="8452" max="8454" width="14.42578125" style="503"/>
    <col min="8455" max="8455" width="18.42578125" style="503" customWidth="1"/>
    <col min="8456" max="8456" width="15.42578125" style="503" customWidth="1"/>
    <col min="8457" max="8457" width="22.140625" style="503" customWidth="1"/>
    <col min="8458" max="8458" width="20.28515625" style="503" customWidth="1"/>
    <col min="8459" max="8459" width="18.28515625" style="503" customWidth="1"/>
    <col min="8460" max="8704" width="14.42578125" style="503"/>
    <col min="8705" max="8705" width="44.28515625" style="503" customWidth="1"/>
    <col min="8706" max="8706" width="31.140625" style="503" customWidth="1"/>
    <col min="8707" max="8707" width="21.7109375" style="503" customWidth="1"/>
    <col min="8708" max="8710" width="14.42578125" style="503"/>
    <col min="8711" max="8711" width="18.42578125" style="503" customWidth="1"/>
    <col min="8712" max="8712" width="15.42578125" style="503" customWidth="1"/>
    <col min="8713" max="8713" width="22.140625" style="503" customWidth="1"/>
    <col min="8714" max="8714" width="20.28515625" style="503" customWidth="1"/>
    <col min="8715" max="8715" width="18.28515625" style="503" customWidth="1"/>
    <col min="8716" max="8960" width="14.42578125" style="503"/>
    <col min="8961" max="8961" width="44.28515625" style="503" customWidth="1"/>
    <col min="8962" max="8962" width="31.140625" style="503" customWidth="1"/>
    <col min="8963" max="8963" width="21.7109375" style="503" customWidth="1"/>
    <col min="8964" max="8966" width="14.42578125" style="503"/>
    <col min="8967" max="8967" width="18.42578125" style="503" customWidth="1"/>
    <col min="8968" max="8968" width="15.42578125" style="503" customWidth="1"/>
    <col min="8969" max="8969" width="22.140625" style="503" customWidth="1"/>
    <col min="8970" max="8970" width="20.28515625" style="503" customWidth="1"/>
    <col min="8971" max="8971" width="18.28515625" style="503" customWidth="1"/>
    <col min="8972" max="9216" width="14.42578125" style="503"/>
    <col min="9217" max="9217" width="44.28515625" style="503" customWidth="1"/>
    <col min="9218" max="9218" width="31.140625" style="503" customWidth="1"/>
    <col min="9219" max="9219" width="21.7109375" style="503" customWidth="1"/>
    <col min="9220" max="9222" width="14.42578125" style="503"/>
    <col min="9223" max="9223" width="18.42578125" style="503" customWidth="1"/>
    <col min="9224" max="9224" width="15.42578125" style="503" customWidth="1"/>
    <col min="9225" max="9225" width="22.140625" style="503" customWidth="1"/>
    <col min="9226" max="9226" width="20.28515625" style="503" customWidth="1"/>
    <col min="9227" max="9227" width="18.28515625" style="503" customWidth="1"/>
    <col min="9228" max="9472" width="14.42578125" style="503"/>
    <col min="9473" max="9473" width="44.28515625" style="503" customWidth="1"/>
    <col min="9474" max="9474" width="31.140625" style="503" customWidth="1"/>
    <col min="9475" max="9475" width="21.7109375" style="503" customWidth="1"/>
    <col min="9476" max="9478" width="14.42578125" style="503"/>
    <col min="9479" max="9479" width="18.42578125" style="503" customWidth="1"/>
    <col min="9480" max="9480" width="15.42578125" style="503" customWidth="1"/>
    <col min="9481" max="9481" width="22.140625" style="503" customWidth="1"/>
    <col min="9482" max="9482" width="20.28515625" style="503" customWidth="1"/>
    <col min="9483" max="9483" width="18.28515625" style="503" customWidth="1"/>
    <col min="9484" max="9728" width="14.42578125" style="503"/>
    <col min="9729" max="9729" width="44.28515625" style="503" customWidth="1"/>
    <col min="9730" max="9730" width="31.140625" style="503" customWidth="1"/>
    <col min="9731" max="9731" width="21.7109375" style="503" customWidth="1"/>
    <col min="9732" max="9734" width="14.42578125" style="503"/>
    <col min="9735" max="9735" width="18.42578125" style="503" customWidth="1"/>
    <col min="9736" max="9736" width="15.42578125" style="503" customWidth="1"/>
    <col min="9737" max="9737" width="22.140625" style="503" customWidth="1"/>
    <col min="9738" max="9738" width="20.28515625" style="503" customWidth="1"/>
    <col min="9739" max="9739" width="18.28515625" style="503" customWidth="1"/>
    <col min="9740" max="9984" width="14.42578125" style="503"/>
    <col min="9985" max="9985" width="44.28515625" style="503" customWidth="1"/>
    <col min="9986" max="9986" width="31.140625" style="503" customWidth="1"/>
    <col min="9987" max="9987" width="21.7109375" style="503" customWidth="1"/>
    <col min="9988" max="9990" width="14.42578125" style="503"/>
    <col min="9991" max="9991" width="18.42578125" style="503" customWidth="1"/>
    <col min="9992" max="9992" width="15.42578125" style="503" customWidth="1"/>
    <col min="9993" max="9993" width="22.140625" style="503" customWidth="1"/>
    <col min="9994" max="9994" width="20.28515625" style="503" customWidth="1"/>
    <col min="9995" max="9995" width="18.28515625" style="503" customWidth="1"/>
    <col min="9996" max="10240" width="14.42578125" style="503"/>
    <col min="10241" max="10241" width="44.28515625" style="503" customWidth="1"/>
    <col min="10242" max="10242" width="31.140625" style="503" customWidth="1"/>
    <col min="10243" max="10243" width="21.7109375" style="503" customWidth="1"/>
    <col min="10244" max="10246" width="14.42578125" style="503"/>
    <col min="10247" max="10247" width="18.42578125" style="503" customWidth="1"/>
    <col min="10248" max="10248" width="15.42578125" style="503" customWidth="1"/>
    <col min="10249" max="10249" width="22.140625" style="503" customWidth="1"/>
    <col min="10250" max="10250" width="20.28515625" style="503" customWidth="1"/>
    <col min="10251" max="10251" width="18.28515625" style="503" customWidth="1"/>
    <col min="10252" max="10496" width="14.42578125" style="503"/>
    <col min="10497" max="10497" width="44.28515625" style="503" customWidth="1"/>
    <col min="10498" max="10498" width="31.140625" style="503" customWidth="1"/>
    <col min="10499" max="10499" width="21.7109375" style="503" customWidth="1"/>
    <col min="10500" max="10502" width="14.42578125" style="503"/>
    <col min="10503" max="10503" width="18.42578125" style="503" customWidth="1"/>
    <col min="10504" max="10504" width="15.42578125" style="503" customWidth="1"/>
    <col min="10505" max="10505" width="22.140625" style="503" customWidth="1"/>
    <col min="10506" max="10506" width="20.28515625" style="503" customWidth="1"/>
    <col min="10507" max="10507" width="18.28515625" style="503" customWidth="1"/>
    <col min="10508" max="10752" width="14.42578125" style="503"/>
    <col min="10753" max="10753" width="44.28515625" style="503" customWidth="1"/>
    <col min="10754" max="10754" width="31.140625" style="503" customWidth="1"/>
    <col min="10755" max="10755" width="21.7109375" style="503" customWidth="1"/>
    <col min="10756" max="10758" width="14.42578125" style="503"/>
    <col min="10759" max="10759" width="18.42578125" style="503" customWidth="1"/>
    <col min="10760" max="10760" width="15.42578125" style="503" customWidth="1"/>
    <col min="10761" max="10761" width="22.140625" style="503" customWidth="1"/>
    <col min="10762" max="10762" width="20.28515625" style="503" customWidth="1"/>
    <col min="10763" max="10763" width="18.28515625" style="503" customWidth="1"/>
    <col min="10764" max="11008" width="14.42578125" style="503"/>
    <col min="11009" max="11009" width="44.28515625" style="503" customWidth="1"/>
    <col min="11010" max="11010" width="31.140625" style="503" customWidth="1"/>
    <col min="11011" max="11011" width="21.7109375" style="503" customWidth="1"/>
    <col min="11012" max="11014" width="14.42578125" style="503"/>
    <col min="11015" max="11015" width="18.42578125" style="503" customWidth="1"/>
    <col min="11016" max="11016" width="15.42578125" style="503" customWidth="1"/>
    <col min="11017" max="11017" width="22.140625" style="503" customWidth="1"/>
    <col min="11018" max="11018" width="20.28515625" style="503" customWidth="1"/>
    <col min="11019" max="11019" width="18.28515625" style="503" customWidth="1"/>
    <col min="11020" max="11264" width="14.42578125" style="503"/>
    <col min="11265" max="11265" width="44.28515625" style="503" customWidth="1"/>
    <col min="11266" max="11266" width="31.140625" style="503" customWidth="1"/>
    <col min="11267" max="11267" width="21.7109375" style="503" customWidth="1"/>
    <col min="11268" max="11270" width="14.42578125" style="503"/>
    <col min="11271" max="11271" width="18.42578125" style="503" customWidth="1"/>
    <col min="11272" max="11272" width="15.42578125" style="503" customWidth="1"/>
    <col min="11273" max="11273" width="22.140625" style="503" customWidth="1"/>
    <col min="11274" max="11274" width="20.28515625" style="503" customWidth="1"/>
    <col min="11275" max="11275" width="18.28515625" style="503" customWidth="1"/>
    <col min="11276" max="11520" width="14.42578125" style="503"/>
    <col min="11521" max="11521" width="44.28515625" style="503" customWidth="1"/>
    <col min="11522" max="11522" width="31.140625" style="503" customWidth="1"/>
    <col min="11523" max="11523" width="21.7109375" style="503" customWidth="1"/>
    <col min="11524" max="11526" width="14.42578125" style="503"/>
    <col min="11527" max="11527" width="18.42578125" style="503" customWidth="1"/>
    <col min="11528" max="11528" width="15.42578125" style="503" customWidth="1"/>
    <col min="11529" max="11529" width="22.140625" style="503" customWidth="1"/>
    <col min="11530" max="11530" width="20.28515625" style="503" customWidth="1"/>
    <col min="11531" max="11531" width="18.28515625" style="503" customWidth="1"/>
    <col min="11532" max="11776" width="14.42578125" style="503"/>
    <col min="11777" max="11777" width="44.28515625" style="503" customWidth="1"/>
    <col min="11778" max="11778" width="31.140625" style="503" customWidth="1"/>
    <col min="11779" max="11779" width="21.7109375" style="503" customWidth="1"/>
    <col min="11780" max="11782" width="14.42578125" style="503"/>
    <col min="11783" max="11783" width="18.42578125" style="503" customWidth="1"/>
    <col min="11784" max="11784" width="15.42578125" style="503" customWidth="1"/>
    <col min="11785" max="11785" width="22.140625" style="503" customWidth="1"/>
    <col min="11786" max="11786" width="20.28515625" style="503" customWidth="1"/>
    <col min="11787" max="11787" width="18.28515625" style="503" customWidth="1"/>
    <col min="11788" max="12032" width="14.42578125" style="503"/>
    <col min="12033" max="12033" width="44.28515625" style="503" customWidth="1"/>
    <col min="12034" max="12034" width="31.140625" style="503" customWidth="1"/>
    <col min="12035" max="12035" width="21.7109375" style="503" customWidth="1"/>
    <col min="12036" max="12038" width="14.42578125" style="503"/>
    <col min="12039" max="12039" width="18.42578125" style="503" customWidth="1"/>
    <col min="12040" max="12040" width="15.42578125" style="503" customWidth="1"/>
    <col min="12041" max="12041" width="22.140625" style="503" customWidth="1"/>
    <col min="12042" max="12042" width="20.28515625" style="503" customWidth="1"/>
    <col min="12043" max="12043" width="18.28515625" style="503" customWidth="1"/>
    <col min="12044" max="12288" width="14.42578125" style="503"/>
    <col min="12289" max="12289" width="44.28515625" style="503" customWidth="1"/>
    <col min="12290" max="12290" width="31.140625" style="503" customWidth="1"/>
    <col min="12291" max="12291" width="21.7109375" style="503" customWidth="1"/>
    <col min="12292" max="12294" width="14.42578125" style="503"/>
    <col min="12295" max="12295" width="18.42578125" style="503" customWidth="1"/>
    <col min="12296" max="12296" width="15.42578125" style="503" customWidth="1"/>
    <col min="12297" max="12297" width="22.140625" style="503" customWidth="1"/>
    <col min="12298" max="12298" width="20.28515625" style="503" customWidth="1"/>
    <col min="12299" max="12299" width="18.28515625" style="503" customWidth="1"/>
    <col min="12300" max="12544" width="14.42578125" style="503"/>
    <col min="12545" max="12545" width="44.28515625" style="503" customWidth="1"/>
    <col min="12546" max="12546" width="31.140625" style="503" customWidth="1"/>
    <col min="12547" max="12547" width="21.7109375" style="503" customWidth="1"/>
    <col min="12548" max="12550" width="14.42578125" style="503"/>
    <col min="12551" max="12551" width="18.42578125" style="503" customWidth="1"/>
    <col min="12552" max="12552" width="15.42578125" style="503" customWidth="1"/>
    <col min="12553" max="12553" width="22.140625" style="503" customWidth="1"/>
    <col min="12554" max="12554" width="20.28515625" style="503" customWidth="1"/>
    <col min="12555" max="12555" width="18.28515625" style="503" customWidth="1"/>
    <col min="12556" max="12800" width="14.42578125" style="503"/>
    <col min="12801" max="12801" width="44.28515625" style="503" customWidth="1"/>
    <col min="12802" max="12802" width="31.140625" style="503" customWidth="1"/>
    <col min="12803" max="12803" width="21.7109375" style="503" customWidth="1"/>
    <col min="12804" max="12806" width="14.42578125" style="503"/>
    <col min="12807" max="12807" width="18.42578125" style="503" customWidth="1"/>
    <col min="12808" max="12808" width="15.42578125" style="503" customWidth="1"/>
    <col min="12809" max="12809" width="22.140625" style="503" customWidth="1"/>
    <col min="12810" max="12810" width="20.28515625" style="503" customWidth="1"/>
    <col min="12811" max="12811" width="18.28515625" style="503" customWidth="1"/>
    <col min="12812" max="13056" width="14.42578125" style="503"/>
    <col min="13057" max="13057" width="44.28515625" style="503" customWidth="1"/>
    <col min="13058" max="13058" width="31.140625" style="503" customWidth="1"/>
    <col min="13059" max="13059" width="21.7109375" style="503" customWidth="1"/>
    <col min="13060" max="13062" width="14.42578125" style="503"/>
    <col min="13063" max="13063" width="18.42578125" style="503" customWidth="1"/>
    <col min="13064" max="13064" width="15.42578125" style="503" customWidth="1"/>
    <col min="13065" max="13065" width="22.140625" style="503" customWidth="1"/>
    <col min="13066" max="13066" width="20.28515625" style="503" customWidth="1"/>
    <col min="13067" max="13067" width="18.28515625" style="503" customWidth="1"/>
    <col min="13068" max="13312" width="14.42578125" style="503"/>
    <col min="13313" max="13313" width="44.28515625" style="503" customWidth="1"/>
    <col min="13314" max="13314" width="31.140625" style="503" customWidth="1"/>
    <col min="13315" max="13315" width="21.7109375" style="503" customWidth="1"/>
    <col min="13316" max="13318" width="14.42578125" style="503"/>
    <col min="13319" max="13319" width="18.42578125" style="503" customWidth="1"/>
    <col min="13320" max="13320" width="15.42578125" style="503" customWidth="1"/>
    <col min="13321" max="13321" width="22.140625" style="503" customWidth="1"/>
    <col min="13322" max="13322" width="20.28515625" style="503" customWidth="1"/>
    <col min="13323" max="13323" width="18.28515625" style="503" customWidth="1"/>
    <col min="13324" max="13568" width="14.42578125" style="503"/>
    <col min="13569" max="13569" width="44.28515625" style="503" customWidth="1"/>
    <col min="13570" max="13570" width="31.140625" style="503" customWidth="1"/>
    <col min="13571" max="13571" width="21.7109375" style="503" customWidth="1"/>
    <col min="13572" max="13574" width="14.42578125" style="503"/>
    <col min="13575" max="13575" width="18.42578125" style="503" customWidth="1"/>
    <col min="13576" max="13576" width="15.42578125" style="503" customWidth="1"/>
    <col min="13577" max="13577" width="22.140625" style="503" customWidth="1"/>
    <col min="13578" max="13578" width="20.28515625" style="503" customWidth="1"/>
    <col min="13579" max="13579" width="18.28515625" style="503" customWidth="1"/>
    <col min="13580" max="13824" width="14.42578125" style="503"/>
    <col min="13825" max="13825" width="44.28515625" style="503" customWidth="1"/>
    <col min="13826" max="13826" width="31.140625" style="503" customWidth="1"/>
    <col min="13827" max="13827" width="21.7109375" style="503" customWidth="1"/>
    <col min="13828" max="13830" width="14.42578125" style="503"/>
    <col min="13831" max="13831" width="18.42578125" style="503" customWidth="1"/>
    <col min="13832" max="13832" width="15.42578125" style="503" customWidth="1"/>
    <col min="13833" max="13833" width="22.140625" style="503" customWidth="1"/>
    <col min="13834" max="13834" width="20.28515625" style="503" customWidth="1"/>
    <col min="13835" max="13835" width="18.28515625" style="503" customWidth="1"/>
    <col min="13836" max="14080" width="14.42578125" style="503"/>
    <col min="14081" max="14081" width="44.28515625" style="503" customWidth="1"/>
    <col min="14082" max="14082" width="31.140625" style="503" customWidth="1"/>
    <col min="14083" max="14083" width="21.7109375" style="503" customWidth="1"/>
    <col min="14084" max="14086" width="14.42578125" style="503"/>
    <col min="14087" max="14087" width="18.42578125" style="503" customWidth="1"/>
    <col min="14088" max="14088" width="15.42578125" style="503" customWidth="1"/>
    <col min="14089" max="14089" width="22.140625" style="503" customWidth="1"/>
    <col min="14090" max="14090" width="20.28515625" style="503" customWidth="1"/>
    <col min="14091" max="14091" width="18.28515625" style="503" customWidth="1"/>
    <col min="14092" max="14336" width="14.42578125" style="503"/>
    <col min="14337" max="14337" width="44.28515625" style="503" customWidth="1"/>
    <col min="14338" max="14338" width="31.140625" style="503" customWidth="1"/>
    <col min="14339" max="14339" width="21.7109375" style="503" customWidth="1"/>
    <col min="14340" max="14342" width="14.42578125" style="503"/>
    <col min="14343" max="14343" width="18.42578125" style="503" customWidth="1"/>
    <col min="14344" max="14344" width="15.42578125" style="503" customWidth="1"/>
    <col min="14345" max="14345" width="22.140625" style="503" customWidth="1"/>
    <col min="14346" max="14346" width="20.28515625" style="503" customWidth="1"/>
    <col min="14347" max="14347" width="18.28515625" style="503" customWidth="1"/>
    <col min="14348" max="14592" width="14.42578125" style="503"/>
    <col min="14593" max="14593" width="44.28515625" style="503" customWidth="1"/>
    <col min="14594" max="14594" width="31.140625" style="503" customWidth="1"/>
    <col min="14595" max="14595" width="21.7109375" style="503" customWidth="1"/>
    <col min="14596" max="14598" width="14.42578125" style="503"/>
    <col min="14599" max="14599" width="18.42578125" style="503" customWidth="1"/>
    <col min="14600" max="14600" width="15.42578125" style="503" customWidth="1"/>
    <col min="14601" max="14601" width="22.140625" style="503" customWidth="1"/>
    <col min="14602" max="14602" width="20.28515625" style="503" customWidth="1"/>
    <col min="14603" max="14603" width="18.28515625" style="503" customWidth="1"/>
    <col min="14604" max="14848" width="14.42578125" style="503"/>
    <col min="14849" max="14849" width="44.28515625" style="503" customWidth="1"/>
    <col min="14850" max="14850" width="31.140625" style="503" customWidth="1"/>
    <col min="14851" max="14851" width="21.7109375" style="503" customWidth="1"/>
    <col min="14852" max="14854" width="14.42578125" style="503"/>
    <col min="14855" max="14855" width="18.42578125" style="503" customWidth="1"/>
    <col min="14856" max="14856" width="15.42578125" style="503" customWidth="1"/>
    <col min="14857" max="14857" width="22.140625" style="503" customWidth="1"/>
    <col min="14858" max="14858" width="20.28515625" style="503" customWidth="1"/>
    <col min="14859" max="14859" width="18.28515625" style="503" customWidth="1"/>
    <col min="14860" max="15104" width="14.42578125" style="503"/>
    <col min="15105" max="15105" width="44.28515625" style="503" customWidth="1"/>
    <col min="15106" max="15106" width="31.140625" style="503" customWidth="1"/>
    <col min="15107" max="15107" width="21.7109375" style="503" customWidth="1"/>
    <col min="15108" max="15110" width="14.42578125" style="503"/>
    <col min="15111" max="15111" width="18.42578125" style="503" customWidth="1"/>
    <col min="15112" max="15112" width="15.42578125" style="503" customWidth="1"/>
    <col min="15113" max="15113" width="22.140625" style="503" customWidth="1"/>
    <col min="15114" max="15114" width="20.28515625" style="503" customWidth="1"/>
    <col min="15115" max="15115" width="18.28515625" style="503" customWidth="1"/>
    <col min="15116" max="15360" width="14.42578125" style="503"/>
    <col min="15361" max="15361" width="44.28515625" style="503" customWidth="1"/>
    <col min="15362" max="15362" width="31.140625" style="503" customWidth="1"/>
    <col min="15363" max="15363" width="21.7109375" style="503" customWidth="1"/>
    <col min="15364" max="15366" width="14.42578125" style="503"/>
    <col min="15367" max="15367" width="18.42578125" style="503" customWidth="1"/>
    <col min="15368" max="15368" width="15.42578125" style="503" customWidth="1"/>
    <col min="15369" max="15369" width="22.140625" style="503" customWidth="1"/>
    <col min="15370" max="15370" width="20.28515625" style="503" customWidth="1"/>
    <col min="15371" max="15371" width="18.28515625" style="503" customWidth="1"/>
    <col min="15372" max="15616" width="14.42578125" style="503"/>
    <col min="15617" max="15617" width="44.28515625" style="503" customWidth="1"/>
    <col min="15618" max="15618" width="31.140625" style="503" customWidth="1"/>
    <col min="15619" max="15619" width="21.7109375" style="503" customWidth="1"/>
    <col min="15620" max="15622" width="14.42578125" style="503"/>
    <col min="15623" max="15623" width="18.42578125" style="503" customWidth="1"/>
    <col min="15624" max="15624" width="15.42578125" style="503" customWidth="1"/>
    <col min="15625" max="15625" width="22.140625" style="503" customWidth="1"/>
    <col min="15626" max="15626" width="20.28515625" style="503" customWidth="1"/>
    <col min="15627" max="15627" width="18.28515625" style="503" customWidth="1"/>
    <col min="15628" max="15872" width="14.42578125" style="503"/>
    <col min="15873" max="15873" width="44.28515625" style="503" customWidth="1"/>
    <col min="15874" max="15874" width="31.140625" style="503" customWidth="1"/>
    <col min="15875" max="15875" width="21.7109375" style="503" customWidth="1"/>
    <col min="15876" max="15878" width="14.42578125" style="503"/>
    <col min="15879" max="15879" width="18.42578125" style="503" customWidth="1"/>
    <col min="15880" max="15880" width="15.42578125" style="503" customWidth="1"/>
    <col min="15881" max="15881" width="22.140625" style="503" customWidth="1"/>
    <col min="15882" max="15882" width="20.28515625" style="503" customWidth="1"/>
    <col min="15883" max="15883" width="18.28515625" style="503" customWidth="1"/>
    <col min="15884" max="16128" width="14.42578125" style="503"/>
    <col min="16129" max="16129" width="44.28515625" style="503" customWidth="1"/>
    <col min="16130" max="16130" width="31.140625" style="503" customWidth="1"/>
    <col min="16131" max="16131" width="21.7109375" style="503" customWidth="1"/>
    <col min="16132" max="16134" width="14.42578125" style="503"/>
    <col min="16135" max="16135" width="18.42578125" style="503" customWidth="1"/>
    <col min="16136" max="16136" width="15.42578125" style="503" customWidth="1"/>
    <col min="16137" max="16137" width="22.140625" style="503" customWidth="1"/>
    <col min="16138" max="16138" width="20.28515625" style="503" customWidth="1"/>
    <col min="16139" max="16139" width="18.28515625" style="503" customWidth="1"/>
    <col min="16140" max="16384" width="14.42578125" style="503"/>
  </cols>
  <sheetData>
    <row r="1" spans="1:26" ht="15.75" customHeight="1">
      <c r="A1" s="499"/>
      <c r="B1" s="500"/>
      <c r="C1" s="500"/>
      <c r="D1" s="500"/>
      <c r="E1" s="500"/>
      <c r="F1" s="500"/>
      <c r="G1" s="500"/>
      <c r="H1" s="500"/>
      <c r="I1" s="500"/>
      <c r="J1" s="500"/>
      <c r="K1" s="501"/>
      <c r="L1" s="502"/>
    </row>
    <row r="2" spans="1:26" ht="15" customHeight="1">
      <c r="A2" s="504" t="s">
        <v>235</v>
      </c>
      <c r="B2" s="505"/>
      <c r="C2" s="505"/>
      <c r="D2" s="505"/>
      <c r="E2" s="505"/>
      <c r="F2" s="505"/>
      <c r="G2" s="505"/>
      <c r="H2" s="505"/>
      <c r="I2" s="505"/>
      <c r="J2" s="505"/>
      <c r="K2" s="506" t="s">
        <v>234</v>
      </c>
      <c r="L2" s="502"/>
    </row>
    <row r="3" spans="1:26" ht="15" customHeight="1">
      <c r="A3" s="507" t="s">
        <v>748</v>
      </c>
      <c r="B3" s="505"/>
      <c r="C3" s="505"/>
      <c r="D3" s="505"/>
      <c r="E3" s="505"/>
      <c r="F3" s="505"/>
      <c r="G3" s="505"/>
      <c r="H3" s="505"/>
      <c r="I3" s="505"/>
      <c r="J3" s="505"/>
      <c r="K3" s="508"/>
      <c r="L3" s="502"/>
    </row>
    <row r="4" spans="1:26" ht="15" customHeight="1">
      <c r="A4" s="509" t="s">
        <v>749</v>
      </c>
      <c r="B4" s="505"/>
      <c r="C4" s="505"/>
      <c r="D4" s="505"/>
      <c r="E4" s="505"/>
      <c r="F4" s="505"/>
      <c r="G4" s="505"/>
      <c r="H4" s="505"/>
      <c r="I4" s="505"/>
      <c r="J4" s="505"/>
      <c r="K4" s="508"/>
      <c r="L4" s="502"/>
    </row>
    <row r="5" spans="1:26" ht="15.75" customHeight="1">
      <c r="A5" s="499"/>
      <c r="B5" s="505"/>
      <c r="C5" s="505"/>
      <c r="D5" s="505"/>
      <c r="E5" s="505"/>
      <c r="F5" s="505"/>
      <c r="G5" s="505"/>
      <c r="H5" s="505"/>
      <c r="I5" s="505"/>
      <c r="J5" s="505"/>
      <c r="K5" s="508"/>
      <c r="L5" s="502"/>
    </row>
    <row r="6" spans="1:26" ht="15" customHeight="1">
      <c r="A6" s="501"/>
      <c r="B6" s="500"/>
      <c r="C6" s="500"/>
      <c r="D6" s="500"/>
      <c r="E6" s="500"/>
      <c r="F6" s="500"/>
      <c r="G6" s="500"/>
      <c r="H6" s="500"/>
      <c r="I6" s="500"/>
      <c r="J6" s="500"/>
      <c r="K6" s="501"/>
      <c r="L6" s="502"/>
    </row>
    <row r="7" spans="1:26" ht="15" customHeight="1">
      <c r="A7" s="510" t="s">
        <v>228</v>
      </c>
      <c r="B7" s="510" t="s">
        <v>227</v>
      </c>
      <c r="C7" s="510" t="s">
        <v>226</v>
      </c>
      <c r="D7" s="510"/>
      <c r="E7" s="1421" t="s">
        <v>225</v>
      </c>
      <c r="F7" s="1421"/>
      <c r="G7" s="510" t="s">
        <v>224</v>
      </c>
      <c r="H7" s="1421" t="s">
        <v>223</v>
      </c>
      <c r="I7" s="1421"/>
      <c r="J7" s="510" t="s">
        <v>222</v>
      </c>
      <c r="K7" s="510" t="s">
        <v>221</v>
      </c>
      <c r="L7" s="502"/>
    </row>
    <row r="8" spans="1:26" ht="15" customHeight="1">
      <c r="A8" s="1419" t="s">
        <v>220</v>
      </c>
      <c r="B8" s="1419" t="s">
        <v>219</v>
      </c>
      <c r="C8" s="1419" t="s">
        <v>218</v>
      </c>
      <c r="D8" s="1419" t="s">
        <v>217</v>
      </c>
      <c r="E8" s="1419" t="s">
        <v>216</v>
      </c>
      <c r="F8" s="1419"/>
      <c r="G8" s="1419" t="s">
        <v>215</v>
      </c>
      <c r="H8" s="1419" t="s">
        <v>214</v>
      </c>
      <c r="I8" s="1419"/>
      <c r="J8" s="1419" t="s">
        <v>240</v>
      </c>
      <c r="K8" s="1420" t="s">
        <v>212</v>
      </c>
      <c r="L8" s="511"/>
      <c r="M8" s="511"/>
      <c r="N8" s="511"/>
      <c r="O8" s="511"/>
      <c r="P8" s="511"/>
      <c r="Q8" s="511"/>
      <c r="R8" s="511"/>
      <c r="S8" s="511"/>
      <c r="T8" s="511"/>
      <c r="U8" s="511"/>
      <c r="V8" s="511"/>
      <c r="W8" s="511"/>
      <c r="X8" s="511"/>
      <c r="Y8" s="511"/>
      <c r="Z8" s="511"/>
    </row>
    <row r="9" spans="1:26" ht="15" customHeight="1">
      <c r="A9" s="1419"/>
      <c r="B9" s="1419"/>
      <c r="C9" s="1419"/>
      <c r="D9" s="1419"/>
      <c r="E9" s="512" t="s">
        <v>211</v>
      </c>
      <c r="F9" s="512" t="s">
        <v>210</v>
      </c>
      <c r="G9" s="1419"/>
      <c r="H9" s="512" t="s">
        <v>211</v>
      </c>
      <c r="I9" s="512" t="s">
        <v>210</v>
      </c>
      <c r="J9" s="1419"/>
      <c r="K9" s="1419"/>
      <c r="L9" s="511"/>
      <c r="M9" s="511"/>
      <c r="N9" s="511"/>
      <c r="O9" s="511"/>
      <c r="P9" s="511"/>
      <c r="Q9" s="511"/>
      <c r="R9" s="511"/>
      <c r="S9" s="511"/>
      <c r="T9" s="511"/>
      <c r="U9" s="511"/>
      <c r="V9" s="511"/>
      <c r="W9" s="511"/>
      <c r="X9" s="511"/>
      <c r="Y9" s="511"/>
      <c r="Z9" s="511"/>
    </row>
    <row r="10" spans="1:26" ht="15" customHeight="1">
      <c r="A10" s="513" t="s">
        <v>208</v>
      </c>
      <c r="B10" s="514"/>
      <c r="C10" s="514"/>
      <c r="D10" s="514"/>
      <c r="E10" s="514"/>
      <c r="F10" s="514"/>
      <c r="G10" s="514"/>
      <c r="H10" s="514"/>
      <c r="I10" s="514"/>
      <c r="J10" s="514"/>
      <c r="K10" s="515">
        <f>SUM(K11)</f>
        <v>0</v>
      </c>
      <c r="L10" s="502"/>
    </row>
    <row r="11" spans="1:26" ht="15" customHeight="1">
      <c r="A11" s="516"/>
      <c r="B11" s="517"/>
      <c r="C11" s="517"/>
      <c r="D11" s="518"/>
      <c r="E11" s="518"/>
      <c r="F11" s="518"/>
      <c r="G11" s="517"/>
      <c r="H11" s="517"/>
      <c r="I11" s="517"/>
      <c r="J11" s="517"/>
      <c r="K11" s="519"/>
      <c r="L11" s="502"/>
    </row>
    <row r="12" spans="1:26" ht="15" customHeight="1">
      <c r="A12" s="513" t="s">
        <v>207</v>
      </c>
      <c r="B12" s="514"/>
      <c r="C12" s="514"/>
      <c r="D12" s="520"/>
      <c r="E12" s="520"/>
      <c r="F12" s="520"/>
      <c r="G12" s="514"/>
      <c r="H12" s="514"/>
      <c r="I12" s="514"/>
      <c r="J12" s="514"/>
      <c r="K12" s="515">
        <f>+K13+K14+K16+K17+K15</f>
        <v>139917546.15000001</v>
      </c>
      <c r="L12" s="502"/>
    </row>
    <row r="13" spans="1:26" ht="15" customHeight="1">
      <c r="A13" s="516" t="s">
        <v>750</v>
      </c>
      <c r="B13" s="517" t="s">
        <v>751</v>
      </c>
      <c r="C13" s="517" t="s">
        <v>109</v>
      </c>
      <c r="D13" s="521">
        <v>1.6E-2</v>
      </c>
      <c r="E13" s="521">
        <v>7.4999999999999997E-3</v>
      </c>
      <c r="F13" s="521">
        <v>5.6000000000000001E-2</v>
      </c>
      <c r="G13" s="522">
        <v>0</v>
      </c>
      <c r="H13" s="522">
        <v>0</v>
      </c>
      <c r="I13" s="523" t="s">
        <v>185</v>
      </c>
      <c r="J13" s="517" t="s">
        <v>752</v>
      </c>
      <c r="K13" s="524">
        <f>77697802.18+8597022.9</f>
        <v>86294825.080000013</v>
      </c>
      <c r="L13" s="502"/>
    </row>
    <row r="14" spans="1:26" ht="15" customHeight="1">
      <c r="A14" s="516" t="s">
        <v>424</v>
      </c>
      <c r="B14" s="517" t="s">
        <v>753</v>
      </c>
      <c r="C14" s="517" t="s">
        <v>754</v>
      </c>
      <c r="D14" s="518"/>
      <c r="E14" s="518"/>
      <c r="F14" s="518"/>
      <c r="G14" s="525">
        <v>1533</v>
      </c>
      <c r="H14" s="522">
        <v>714</v>
      </c>
      <c r="I14" s="523" t="s">
        <v>755</v>
      </c>
      <c r="J14" s="517" t="s">
        <v>752</v>
      </c>
      <c r="K14" s="524">
        <f>23487378.53+1266098.82</f>
        <v>24753477.350000001</v>
      </c>
      <c r="L14" s="502"/>
    </row>
    <row r="15" spans="1:26" ht="15" customHeight="1">
      <c r="A15" s="526" t="s">
        <v>756</v>
      </c>
      <c r="B15" s="523" t="s">
        <v>757</v>
      </c>
      <c r="C15" s="523" t="s">
        <v>758</v>
      </c>
      <c r="D15" s="527">
        <v>8.6956000000000007</v>
      </c>
      <c r="E15" s="518"/>
      <c r="F15" s="518"/>
      <c r="G15" s="517"/>
      <c r="H15" s="523" t="s">
        <v>759</v>
      </c>
      <c r="I15" s="523"/>
      <c r="J15" s="517" t="s">
        <v>752</v>
      </c>
      <c r="K15" s="524">
        <v>9403722.8599999994</v>
      </c>
      <c r="L15" s="502"/>
    </row>
    <row r="16" spans="1:26" ht="15" customHeight="1">
      <c r="A16" s="516" t="s">
        <v>347</v>
      </c>
      <c r="B16" s="517" t="s">
        <v>760</v>
      </c>
      <c r="C16" s="517" t="s">
        <v>761</v>
      </c>
      <c r="D16" s="528"/>
      <c r="E16" s="521">
        <v>4.0000000000000001E-3</v>
      </c>
      <c r="F16" s="521">
        <v>0.02</v>
      </c>
      <c r="G16" s="517"/>
      <c r="H16" s="523">
        <v>0</v>
      </c>
      <c r="I16" s="523"/>
      <c r="J16" s="517" t="s">
        <v>752</v>
      </c>
      <c r="K16" s="524">
        <f>18413582.62+770400.79</f>
        <v>19183983.41</v>
      </c>
      <c r="L16" s="502"/>
    </row>
    <row r="17" spans="1:12" ht="15" customHeight="1">
      <c r="A17" s="516" t="s">
        <v>762</v>
      </c>
      <c r="B17" s="517" t="s">
        <v>763</v>
      </c>
      <c r="C17" s="517" t="s">
        <v>764</v>
      </c>
      <c r="D17" s="529">
        <v>5.0000000000000001E-3</v>
      </c>
      <c r="E17" s="528"/>
      <c r="F17" s="517"/>
      <c r="G17" s="517"/>
      <c r="H17" s="523" t="s">
        <v>765</v>
      </c>
      <c r="I17" s="522">
        <v>0</v>
      </c>
      <c r="J17" s="517" t="s">
        <v>752</v>
      </c>
      <c r="K17" s="524">
        <v>281537.45</v>
      </c>
      <c r="L17" s="502"/>
    </row>
    <row r="18" spans="1:12" ht="15" customHeight="1">
      <c r="A18" s="513" t="s">
        <v>191</v>
      </c>
      <c r="B18" s="514"/>
      <c r="C18" s="514"/>
      <c r="D18" s="520"/>
      <c r="E18" s="520"/>
      <c r="F18" s="520"/>
      <c r="G18" s="514"/>
      <c r="H18" s="514"/>
      <c r="I18" s="514"/>
      <c r="J18" s="514"/>
      <c r="K18" s="515">
        <f>SUM(K19:K20)</f>
        <v>0</v>
      </c>
      <c r="L18" s="502"/>
    </row>
    <row r="19" spans="1:12" ht="15" customHeight="1">
      <c r="A19" s="516" t="s">
        <v>766</v>
      </c>
      <c r="B19" s="517" t="s">
        <v>767</v>
      </c>
      <c r="C19" s="523" t="s">
        <v>758</v>
      </c>
      <c r="D19" s="518"/>
      <c r="E19" s="518"/>
      <c r="F19" s="518"/>
      <c r="G19" s="530"/>
      <c r="H19" s="530"/>
      <c r="I19" s="530"/>
      <c r="J19" s="517"/>
      <c r="K19" s="524">
        <v>0</v>
      </c>
      <c r="L19" s="502"/>
    </row>
    <row r="20" spans="1:12" ht="15" customHeight="1">
      <c r="A20" s="516"/>
      <c r="B20" s="530"/>
      <c r="C20" s="531"/>
      <c r="D20" s="528"/>
      <c r="E20" s="518"/>
      <c r="F20" s="518"/>
      <c r="G20" s="530"/>
      <c r="H20" s="530"/>
      <c r="I20" s="530"/>
      <c r="J20" s="517"/>
      <c r="K20" s="532"/>
      <c r="L20" s="502"/>
    </row>
    <row r="21" spans="1:12" ht="15" customHeight="1">
      <c r="A21" s="513" t="s">
        <v>179</v>
      </c>
      <c r="B21" s="514"/>
      <c r="C21" s="514"/>
      <c r="D21" s="533"/>
      <c r="E21" s="520"/>
      <c r="F21" s="520"/>
      <c r="G21" s="514"/>
      <c r="H21" s="514"/>
      <c r="I21" s="514"/>
      <c r="J21" s="514"/>
      <c r="K21" s="515">
        <f>SUM(K23:K30)</f>
        <v>4020414.66</v>
      </c>
      <c r="L21" s="502"/>
    </row>
    <row r="22" spans="1:12" s="537" customFormat="1" ht="15" customHeight="1">
      <c r="A22" s="526" t="s">
        <v>172</v>
      </c>
      <c r="B22" s="523" t="s">
        <v>768</v>
      </c>
      <c r="C22" s="523" t="s">
        <v>769</v>
      </c>
      <c r="D22" s="534"/>
      <c r="E22" s="534"/>
      <c r="F22" s="534"/>
      <c r="G22" s="523"/>
      <c r="H22" s="523"/>
      <c r="I22" s="523"/>
      <c r="J22" s="517" t="s">
        <v>752</v>
      </c>
      <c r="K22" s="535">
        <v>1057157.54</v>
      </c>
      <c r="L22" s="536"/>
    </row>
    <row r="23" spans="1:12" ht="15" customHeight="1">
      <c r="A23" s="516" t="s">
        <v>388</v>
      </c>
      <c r="B23" s="523" t="s">
        <v>770</v>
      </c>
      <c r="C23" s="517" t="s">
        <v>769</v>
      </c>
      <c r="D23" s="518"/>
      <c r="E23" s="518"/>
      <c r="F23" s="518"/>
      <c r="G23" s="517"/>
      <c r="H23" s="517"/>
      <c r="I23" s="517"/>
      <c r="J23" s="517" t="s">
        <v>752</v>
      </c>
      <c r="K23" s="524">
        <v>90197.46</v>
      </c>
      <c r="L23" s="502"/>
    </row>
    <row r="24" spans="1:12" ht="15" customHeight="1">
      <c r="A24" s="516" t="s">
        <v>771</v>
      </c>
      <c r="B24" s="523" t="s">
        <v>772</v>
      </c>
      <c r="C24" s="517" t="s">
        <v>769</v>
      </c>
      <c r="D24" s="518"/>
      <c r="E24" s="518"/>
      <c r="F24" s="518"/>
      <c r="G24" s="517"/>
      <c r="H24" s="517"/>
      <c r="I24" s="517"/>
      <c r="J24" s="517" t="s">
        <v>752</v>
      </c>
      <c r="K24" s="524">
        <v>799255.26</v>
      </c>
      <c r="L24" s="502"/>
    </row>
    <row r="25" spans="1:12" s="537" customFormat="1" ht="16.5" customHeight="1">
      <c r="A25" s="526" t="s">
        <v>385</v>
      </c>
      <c r="B25" s="523" t="s">
        <v>773</v>
      </c>
      <c r="C25" s="523" t="s">
        <v>774</v>
      </c>
      <c r="D25" s="538"/>
      <c r="E25" s="538"/>
      <c r="F25" s="538"/>
      <c r="G25" s="539" t="s">
        <v>775</v>
      </c>
      <c r="H25" s="523"/>
      <c r="I25" s="523"/>
      <c r="J25" s="517" t="s">
        <v>752</v>
      </c>
      <c r="K25" s="535">
        <v>1044621.94</v>
      </c>
      <c r="L25" s="536"/>
    </row>
    <row r="26" spans="1:12" ht="15" customHeight="1">
      <c r="A26" s="516" t="s">
        <v>776</v>
      </c>
      <c r="B26" s="523" t="s">
        <v>777</v>
      </c>
      <c r="C26" s="517" t="s">
        <v>778</v>
      </c>
      <c r="D26" s="518"/>
      <c r="E26" s="518"/>
      <c r="F26" s="518"/>
      <c r="G26" s="517"/>
      <c r="H26" s="540" t="s">
        <v>779</v>
      </c>
      <c r="I26" s="540" t="s">
        <v>780</v>
      </c>
      <c r="J26" s="517" t="s">
        <v>752</v>
      </c>
      <c r="K26" s="524">
        <v>591500</v>
      </c>
      <c r="L26" s="502"/>
    </row>
    <row r="27" spans="1:12" s="537" customFormat="1" ht="15" customHeight="1">
      <c r="A27" s="526" t="s">
        <v>781</v>
      </c>
      <c r="B27" s="523" t="s">
        <v>782</v>
      </c>
      <c r="C27" s="523" t="s">
        <v>769</v>
      </c>
      <c r="D27" s="534"/>
      <c r="E27" s="534"/>
      <c r="F27" s="534"/>
      <c r="G27" s="523"/>
      <c r="H27" s="541">
        <v>105</v>
      </c>
      <c r="I27" s="523" t="s">
        <v>783</v>
      </c>
      <c r="J27" s="517" t="s">
        <v>752</v>
      </c>
      <c r="K27" s="535">
        <v>313090</v>
      </c>
      <c r="L27" s="536"/>
    </row>
    <row r="28" spans="1:12" s="537" customFormat="1" ht="15" customHeight="1">
      <c r="A28" s="526" t="s">
        <v>784</v>
      </c>
      <c r="B28" s="523" t="s">
        <v>785</v>
      </c>
      <c r="C28" s="523"/>
      <c r="D28" s="538"/>
      <c r="E28" s="538"/>
      <c r="F28" s="538"/>
      <c r="G28" s="523" t="s">
        <v>786</v>
      </c>
      <c r="H28" s="541">
        <v>0</v>
      </c>
      <c r="I28" s="522">
        <v>0</v>
      </c>
      <c r="J28" s="517" t="s">
        <v>752</v>
      </c>
      <c r="K28" s="535">
        <v>1175000</v>
      </c>
      <c r="L28" s="536"/>
    </row>
    <row r="29" spans="1:12" s="537" customFormat="1" ht="15" customHeight="1">
      <c r="A29" s="526" t="s">
        <v>155</v>
      </c>
      <c r="B29" s="523" t="s">
        <v>787</v>
      </c>
      <c r="C29" s="523" t="s">
        <v>769</v>
      </c>
      <c r="D29" s="538"/>
      <c r="E29" s="538"/>
      <c r="F29" s="538"/>
      <c r="G29" s="523"/>
      <c r="H29" s="541">
        <v>693</v>
      </c>
      <c r="I29" s="541">
        <v>2268</v>
      </c>
      <c r="J29" s="517" t="s">
        <v>752</v>
      </c>
      <c r="K29" s="535">
        <v>6750</v>
      </c>
      <c r="L29" s="536"/>
    </row>
    <row r="30" spans="1:12" ht="15" customHeight="1">
      <c r="A30" s="516"/>
      <c r="B30" s="517"/>
      <c r="C30" s="517"/>
      <c r="D30" s="518"/>
      <c r="E30" s="518"/>
      <c r="F30" s="518"/>
      <c r="G30" s="517"/>
      <c r="H30" s="517"/>
      <c r="I30" s="517"/>
      <c r="J30" s="517"/>
      <c r="K30" s="519"/>
      <c r="L30" s="502"/>
    </row>
    <row r="31" spans="1:12" ht="15" customHeight="1">
      <c r="A31" s="513" t="s">
        <v>152</v>
      </c>
      <c r="B31" s="514"/>
      <c r="C31" s="514"/>
      <c r="D31" s="520"/>
      <c r="E31" s="520"/>
      <c r="F31" s="520"/>
      <c r="G31" s="514"/>
      <c r="H31" s="514"/>
      <c r="I31" s="514"/>
      <c r="J31" s="514"/>
      <c r="K31" s="515">
        <f>SUM(K32)</f>
        <v>0</v>
      </c>
      <c r="L31" s="502"/>
    </row>
    <row r="32" spans="1:12" ht="15" customHeight="1">
      <c r="A32" s="516"/>
      <c r="B32" s="517"/>
      <c r="C32" s="517"/>
      <c r="D32" s="518"/>
      <c r="E32" s="518"/>
      <c r="F32" s="518"/>
      <c r="G32" s="517"/>
      <c r="H32" s="517"/>
      <c r="I32" s="517"/>
      <c r="J32" s="517"/>
      <c r="K32" s="519"/>
      <c r="L32" s="502"/>
    </row>
    <row r="33" spans="1:13" ht="15" customHeight="1">
      <c r="A33" s="513" t="s">
        <v>151</v>
      </c>
      <c r="B33" s="514"/>
      <c r="C33" s="514"/>
      <c r="D33" s="520"/>
      <c r="E33" s="520"/>
      <c r="F33" s="520"/>
      <c r="G33" s="514"/>
      <c r="H33" s="514"/>
      <c r="I33" s="514"/>
      <c r="J33" s="514"/>
      <c r="K33" s="515">
        <f>SUM(K34:K35)</f>
        <v>3402369.78</v>
      </c>
      <c r="L33" s="502"/>
    </row>
    <row r="34" spans="1:13" ht="15" customHeight="1">
      <c r="A34" s="516" t="s">
        <v>788</v>
      </c>
      <c r="B34" s="523" t="s">
        <v>789</v>
      </c>
      <c r="C34" s="523" t="s">
        <v>769</v>
      </c>
      <c r="D34" s="518"/>
      <c r="E34" s="518"/>
      <c r="F34" s="518"/>
      <c r="G34" s="517"/>
      <c r="H34" s="517"/>
      <c r="I34" s="517"/>
      <c r="J34" s="517" t="s">
        <v>790</v>
      </c>
      <c r="K34" s="524">
        <v>3402369.78</v>
      </c>
      <c r="L34" s="502"/>
    </row>
    <row r="35" spans="1:13" ht="15" customHeight="1">
      <c r="A35" s="516"/>
      <c r="B35" s="517"/>
      <c r="C35" s="517"/>
      <c r="D35" s="518"/>
      <c r="E35" s="518"/>
      <c r="F35" s="518"/>
      <c r="G35" s="517"/>
      <c r="H35" s="517"/>
      <c r="I35" s="517"/>
      <c r="J35" s="517"/>
      <c r="K35" s="519"/>
      <c r="L35" s="502"/>
    </row>
    <row r="36" spans="1:13" ht="15" customHeight="1">
      <c r="A36" s="513" t="s">
        <v>137</v>
      </c>
      <c r="B36" s="514"/>
      <c r="C36" s="514"/>
      <c r="D36" s="520"/>
      <c r="E36" s="520"/>
      <c r="F36" s="520"/>
      <c r="G36" s="514"/>
      <c r="H36" s="514"/>
      <c r="I36" s="514"/>
      <c r="J36" s="514"/>
      <c r="K36" s="515">
        <f>SUM(K37)</f>
        <v>0</v>
      </c>
      <c r="L36" s="502"/>
    </row>
    <row r="37" spans="1:13" ht="15" customHeight="1">
      <c r="A37" s="516"/>
      <c r="B37" s="530"/>
      <c r="C37" s="530"/>
      <c r="D37" s="518"/>
      <c r="E37" s="518"/>
      <c r="F37" s="518"/>
      <c r="G37" s="530"/>
      <c r="H37" s="530"/>
      <c r="I37" s="530"/>
      <c r="J37" s="530"/>
      <c r="K37" s="519"/>
      <c r="L37" s="502"/>
      <c r="M37" s="502"/>
    </row>
    <row r="38" spans="1:13" ht="15" customHeight="1">
      <c r="A38" s="513" t="s">
        <v>136</v>
      </c>
      <c r="B38" s="514"/>
      <c r="C38" s="514"/>
      <c r="D38" s="520"/>
      <c r="E38" s="520"/>
      <c r="F38" s="520"/>
      <c r="G38" s="514"/>
      <c r="H38" s="514"/>
      <c r="I38" s="514"/>
      <c r="J38" s="514"/>
      <c r="K38" s="515">
        <f>SUM(K40:K42)</f>
        <v>14785644.01</v>
      </c>
      <c r="L38" s="502"/>
    </row>
    <row r="39" spans="1:13" ht="15" customHeight="1">
      <c r="A39" s="516" t="s">
        <v>791</v>
      </c>
      <c r="B39" s="542" t="s">
        <v>792</v>
      </c>
      <c r="C39" s="523" t="s">
        <v>769</v>
      </c>
      <c r="D39" s="543"/>
      <c r="E39" s="543"/>
      <c r="F39" s="543"/>
      <c r="G39" s="528"/>
      <c r="H39" s="528"/>
      <c r="I39" s="528"/>
      <c r="J39" s="517" t="s">
        <v>752</v>
      </c>
      <c r="K39" s="524">
        <v>1452566.21</v>
      </c>
    </row>
    <row r="40" spans="1:13" ht="15" customHeight="1">
      <c r="A40" s="516" t="s">
        <v>793</v>
      </c>
      <c r="B40" s="523" t="s">
        <v>794</v>
      </c>
      <c r="C40" s="523" t="s">
        <v>769</v>
      </c>
      <c r="D40" s="544">
        <v>0.1</v>
      </c>
      <c r="E40" s="543"/>
      <c r="F40" s="543"/>
      <c r="G40" s="528"/>
      <c r="H40" s="528"/>
      <c r="I40" s="528"/>
      <c r="J40" s="517" t="s">
        <v>752</v>
      </c>
      <c r="K40" s="524">
        <v>11310562.689999999</v>
      </c>
      <c r="L40" s="502"/>
    </row>
    <row r="41" spans="1:13" ht="15" customHeight="1">
      <c r="A41" s="516" t="s">
        <v>795</v>
      </c>
      <c r="B41" s="523" t="s">
        <v>796</v>
      </c>
      <c r="C41" s="523" t="s">
        <v>758</v>
      </c>
      <c r="D41" s="518"/>
      <c r="E41" s="518"/>
      <c r="F41" s="518"/>
      <c r="G41" s="517"/>
      <c r="H41" s="517"/>
      <c r="I41" s="517"/>
      <c r="J41" s="517" t="s">
        <v>752</v>
      </c>
      <c r="K41" s="524">
        <f>26989740.57-23522219.25</f>
        <v>3467521.3200000003</v>
      </c>
      <c r="L41" s="502"/>
    </row>
    <row r="42" spans="1:13" ht="15" customHeight="1">
      <c r="A42" s="526" t="s">
        <v>797</v>
      </c>
      <c r="B42" s="523" t="s">
        <v>798</v>
      </c>
      <c r="C42" s="523" t="s">
        <v>799</v>
      </c>
      <c r="D42" s="545"/>
      <c r="E42" s="518"/>
      <c r="F42" s="518"/>
      <c r="G42" s="517"/>
      <c r="H42" s="517"/>
      <c r="I42" s="517"/>
      <c r="J42" s="517" t="s">
        <v>752</v>
      </c>
      <c r="K42" s="524">
        <v>7560</v>
      </c>
      <c r="L42" s="502"/>
    </row>
    <row r="43" spans="1:13" ht="15" customHeight="1">
      <c r="A43" s="546" t="s">
        <v>108</v>
      </c>
      <c r="B43" s="547"/>
      <c r="C43" s="547"/>
      <c r="D43" s="548"/>
      <c r="E43" s="548"/>
      <c r="F43" s="548"/>
      <c r="G43" s="547"/>
      <c r="H43" s="547"/>
      <c r="I43" s="547"/>
      <c r="J43" s="547"/>
      <c r="K43" s="549" t="s">
        <v>800</v>
      </c>
      <c r="L43" s="502"/>
    </row>
    <row r="44" spans="1:13" ht="15" customHeight="1">
      <c r="B44" s="550"/>
      <c r="C44" s="550"/>
      <c r="D44" s="550"/>
      <c r="E44" s="550"/>
      <c r="F44" s="550"/>
      <c r="G44" s="550"/>
      <c r="H44" s="550"/>
      <c r="I44" s="550"/>
      <c r="J44" s="550"/>
    </row>
    <row r="45" spans="1:13" ht="15" customHeight="1">
      <c r="A45" s="551"/>
      <c r="B45" s="552"/>
      <c r="C45" s="552"/>
      <c r="D45" s="550"/>
      <c r="E45" s="550"/>
      <c r="F45" s="550"/>
      <c r="G45" s="550"/>
      <c r="H45" s="550"/>
      <c r="I45" s="550"/>
      <c r="J45" s="550"/>
    </row>
    <row r="46" spans="1:13" ht="16.5" customHeight="1">
      <c r="A46" s="553"/>
      <c r="B46" s="552"/>
      <c r="C46" s="552"/>
      <c r="D46" s="550"/>
      <c r="E46" s="550"/>
      <c r="F46" s="550"/>
      <c r="G46" s="550"/>
      <c r="H46" s="550"/>
      <c r="I46" s="550"/>
      <c r="J46" s="550"/>
    </row>
    <row r="47" spans="1:13" ht="16.5" customHeight="1">
      <c r="A47" s="554"/>
      <c r="B47" s="550"/>
      <c r="C47" s="550"/>
      <c r="D47" s="550"/>
      <c r="E47" s="550"/>
      <c r="F47" s="550"/>
      <c r="G47" s="550"/>
      <c r="H47" s="550"/>
      <c r="I47" s="550"/>
      <c r="J47" s="550"/>
    </row>
    <row r="48" spans="1:13" ht="16.5" customHeight="1">
      <c r="A48" s="554"/>
      <c r="B48" s="550"/>
      <c r="C48" s="550"/>
      <c r="D48" s="550"/>
      <c r="E48" s="550"/>
      <c r="F48" s="550"/>
      <c r="G48" s="550"/>
      <c r="H48" s="550"/>
      <c r="I48" s="550"/>
      <c r="J48" s="550"/>
    </row>
    <row r="49" spans="1:11" ht="16.5" customHeight="1">
      <c r="A49" s="554"/>
      <c r="B49" s="550"/>
      <c r="C49" s="550"/>
      <c r="D49" s="550"/>
      <c r="E49" s="550"/>
      <c r="F49" s="550"/>
      <c r="G49" s="550"/>
      <c r="H49" s="550"/>
      <c r="I49" s="550"/>
      <c r="J49" s="550"/>
      <c r="K49" s="555"/>
    </row>
    <row r="50" spans="1:11" ht="16.5" customHeight="1">
      <c r="A50" s="554"/>
      <c r="B50" s="550"/>
      <c r="C50" s="550"/>
      <c r="D50" s="550"/>
      <c r="E50" s="550"/>
      <c r="F50" s="550"/>
      <c r="G50" s="550"/>
      <c r="H50" s="550"/>
      <c r="I50" s="550"/>
      <c r="J50" s="550"/>
      <c r="K50" s="556"/>
    </row>
    <row r="51" spans="1:11" s="537" customFormat="1" ht="15" customHeight="1">
      <c r="A51" s="551"/>
      <c r="B51" s="552"/>
      <c r="C51" s="552"/>
      <c r="D51" s="552"/>
      <c r="E51" s="552"/>
      <c r="F51" s="552"/>
      <c r="G51" s="552"/>
      <c r="H51" s="552"/>
      <c r="I51" s="552"/>
      <c r="J51" s="552"/>
    </row>
    <row r="52" spans="1:11" ht="15" customHeight="1">
      <c r="A52" s="551"/>
      <c r="B52" s="550"/>
      <c r="C52" s="550"/>
      <c r="D52" s="550"/>
      <c r="E52" s="550"/>
      <c r="F52" s="550"/>
      <c r="G52" s="550"/>
      <c r="H52" s="550"/>
      <c r="I52" s="550"/>
      <c r="J52" s="550"/>
    </row>
    <row r="53" spans="1:11" ht="16.5" customHeight="1">
      <c r="A53" s="553"/>
      <c r="B53" s="550"/>
      <c r="C53" s="550"/>
      <c r="D53" s="550"/>
      <c r="E53" s="550"/>
      <c r="F53" s="550"/>
      <c r="G53" s="550"/>
      <c r="H53" s="550"/>
      <c r="I53" s="550"/>
      <c r="J53" s="550"/>
    </row>
    <row r="54" spans="1:11" ht="16.5" customHeight="1">
      <c r="A54" s="553"/>
      <c r="B54" s="550"/>
      <c r="C54" s="550"/>
      <c r="D54" s="550"/>
      <c r="E54" s="550"/>
      <c r="F54" s="550"/>
      <c r="G54" s="550"/>
      <c r="H54" s="550"/>
      <c r="I54" s="550"/>
      <c r="J54" s="550"/>
    </row>
    <row r="55" spans="1:11" ht="16.5" customHeight="1">
      <c r="A55" s="553"/>
      <c r="B55" s="550"/>
      <c r="C55" s="550"/>
      <c r="D55" s="550"/>
      <c r="E55" s="550"/>
      <c r="F55" s="550"/>
      <c r="G55" s="550"/>
      <c r="H55" s="550"/>
      <c r="I55" s="550"/>
      <c r="J55" s="550"/>
    </row>
    <row r="56" spans="1:11" ht="16.5" customHeight="1">
      <c r="A56" s="553"/>
      <c r="B56" s="550"/>
      <c r="C56" s="550"/>
      <c r="D56" s="550"/>
      <c r="E56" s="550"/>
      <c r="F56" s="550"/>
      <c r="G56" s="550"/>
      <c r="H56" s="550"/>
      <c r="I56" s="550"/>
      <c r="J56" s="550"/>
    </row>
    <row r="57" spans="1:11" ht="15" customHeight="1">
      <c r="B57" s="550"/>
      <c r="C57" s="550"/>
      <c r="D57" s="550"/>
      <c r="E57" s="550"/>
      <c r="F57" s="550"/>
      <c r="G57" s="550"/>
      <c r="H57" s="550"/>
      <c r="I57" s="550"/>
      <c r="J57" s="550"/>
    </row>
    <row r="58" spans="1:11" ht="15" customHeight="1">
      <c r="B58" s="550"/>
      <c r="C58" s="550"/>
      <c r="D58" s="550"/>
      <c r="E58" s="550"/>
      <c r="F58" s="550"/>
      <c r="G58" s="550"/>
      <c r="H58" s="550"/>
      <c r="I58" s="550"/>
      <c r="J58" s="550"/>
    </row>
    <row r="59" spans="1:11" ht="15" customHeight="1">
      <c r="B59" s="550"/>
      <c r="C59" s="550"/>
      <c r="D59" s="550"/>
      <c r="E59" s="550"/>
      <c r="F59" s="550"/>
      <c r="G59" s="550"/>
      <c r="H59" s="550"/>
      <c r="I59" s="550"/>
      <c r="J59" s="550"/>
    </row>
    <row r="60" spans="1:11" ht="15" customHeight="1">
      <c r="B60" s="550"/>
      <c r="C60" s="550"/>
      <c r="D60" s="550"/>
      <c r="E60" s="550"/>
      <c r="F60" s="550"/>
      <c r="G60" s="550"/>
      <c r="H60" s="550"/>
      <c r="I60" s="550"/>
      <c r="J60" s="550"/>
    </row>
    <row r="61" spans="1:11" ht="15" customHeight="1">
      <c r="B61" s="550"/>
      <c r="C61" s="550"/>
      <c r="D61" s="550"/>
      <c r="E61" s="550"/>
      <c r="F61" s="550"/>
      <c r="G61" s="550"/>
      <c r="H61" s="550"/>
      <c r="I61" s="550"/>
      <c r="J61" s="550"/>
    </row>
    <row r="62" spans="1:11" ht="15" customHeight="1">
      <c r="B62" s="550"/>
      <c r="C62" s="550"/>
      <c r="D62" s="550"/>
      <c r="E62" s="550"/>
      <c r="F62" s="550"/>
      <c r="G62" s="550"/>
      <c r="H62" s="550"/>
      <c r="I62" s="550"/>
      <c r="J62" s="550"/>
    </row>
    <row r="63" spans="1:11" ht="15" customHeight="1">
      <c r="B63" s="550"/>
      <c r="C63" s="550"/>
      <c r="D63" s="550"/>
      <c r="E63" s="550"/>
      <c r="F63" s="550"/>
      <c r="G63" s="550"/>
      <c r="H63" s="550"/>
      <c r="I63" s="550"/>
      <c r="J63" s="550"/>
    </row>
    <row r="64" spans="1:11" ht="15" customHeight="1">
      <c r="B64" s="550"/>
      <c r="C64" s="550"/>
      <c r="D64" s="550"/>
      <c r="E64" s="550"/>
      <c r="F64" s="550"/>
      <c r="G64" s="550"/>
      <c r="H64" s="550"/>
      <c r="I64" s="550"/>
      <c r="J64" s="550"/>
    </row>
    <row r="65" spans="2:10" ht="15" customHeight="1">
      <c r="B65" s="550"/>
      <c r="C65" s="550"/>
      <c r="D65" s="550"/>
      <c r="E65" s="550"/>
      <c r="F65" s="550"/>
      <c r="G65" s="550"/>
      <c r="H65" s="550"/>
      <c r="I65" s="550"/>
      <c r="J65" s="550"/>
    </row>
    <row r="66" spans="2:10" ht="15" customHeight="1">
      <c r="B66" s="550"/>
      <c r="C66" s="550"/>
      <c r="D66" s="550"/>
      <c r="E66" s="550"/>
      <c r="F66" s="550"/>
      <c r="G66" s="550"/>
      <c r="H66" s="550"/>
      <c r="I66" s="550"/>
      <c r="J66" s="550"/>
    </row>
    <row r="67" spans="2:10" ht="15" customHeight="1">
      <c r="B67" s="550"/>
      <c r="C67" s="550"/>
      <c r="D67" s="550"/>
      <c r="E67" s="550"/>
      <c r="F67" s="550"/>
      <c r="G67" s="550"/>
      <c r="H67" s="550"/>
      <c r="I67" s="550"/>
      <c r="J67" s="550"/>
    </row>
    <row r="68" spans="2:10" ht="15" customHeight="1">
      <c r="B68" s="550"/>
      <c r="C68" s="550"/>
      <c r="D68" s="550"/>
      <c r="E68" s="550"/>
      <c r="F68" s="550"/>
      <c r="G68" s="550"/>
      <c r="H68" s="550"/>
      <c r="I68" s="550"/>
      <c r="J68" s="550"/>
    </row>
    <row r="69" spans="2:10" ht="15" customHeight="1">
      <c r="B69" s="550"/>
      <c r="C69" s="550"/>
      <c r="D69" s="550"/>
      <c r="E69" s="550"/>
      <c r="F69" s="550"/>
      <c r="G69" s="550"/>
      <c r="H69" s="550"/>
      <c r="I69" s="550"/>
      <c r="J69" s="550"/>
    </row>
    <row r="70" spans="2:10" ht="15" customHeight="1">
      <c r="B70" s="550"/>
      <c r="C70" s="550"/>
      <c r="D70" s="550"/>
      <c r="E70" s="550"/>
      <c r="F70" s="550"/>
      <c r="G70" s="550"/>
      <c r="H70" s="550"/>
      <c r="I70" s="550"/>
      <c r="J70" s="550"/>
    </row>
    <row r="71" spans="2:10" ht="15" customHeight="1">
      <c r="B71" s="550"/>
      <c r="C71" s="550"/>
      <c r="D71" s="550"/>
      <c r="E71" s="550"/>
      <c r="F71" s="550"/>
      <c r="G71" s="550"/>
      <c r="H71" s="550"/>
      <c r="I71" s="550"/>
      <c r="J71" s="550"/>
    </row>
    <row r="72" spans="2:10" ht="15" customHeight="1">
      <c r="B72" s="550"/>
      <c r="C72" s="550"/>
      <c r="D72" s="550"/>
      <c r="E72" s="550"/>
      <c r="F72" s="550"/>
      <c r="G72" s="550"/>
      <c r="H72" s="550"/>
      <c r="I72" s="550"/>
      <c r="J72" s="550"/>
    </row>
    <row r="73" spans="2:10" ht="15" customHeight="1">
      <c r="B73" s="550"/>
      <c r="C73" s="550"/>
      <c r="D73" s="550"/>
      <c r="E73" s="550"/>
      <c r="F73" s="550"/>
      <c r="G73" s="550"/>
      <c r="H73" s="550"/>
      <c r="I73" s="550"/>
      <c r="J73" s="550"/>
    </row>
    <row r="74" spans="2:10" ht="15" customHeight="1">
      <c r="B74" s="550"/>
      <c r="C74" s="550"/>
      <c r="D74" s="550"/>
      <c r="E74" s="550"/>
      <c r="F74" s="550"/>
      <c r="G74" s="550"/>
      <c r="H74" s="550"/>
      <c r="I74" s="550"/>
      <c r="J74" s="550"/>
    </row>
    <row r="75" spans="2:10" ht="15" customHeight="1">
      <c r="B75" s="550"/>
      <c r="C75" s="550"/>
      <c r="D75" s="550"/>
      <c r="E75" s="550"/>
      <c r="F75" s="550"/>
      <c r="G75" s="550"/>
      <c r="H75" s="550"/>
      <c r="I75" s="550"/>
      <c r="J75" s="550"/>
    </row>
    <row r="76" spans="2:10" ht="15" customHeight="1">
      <c r="B76" s="550"/>
      <c r="C76" s="550"/>
      <c r="D76" s="550"/>
      <c r="E76" s="550"/>
      <c r="F76" s="550"/>
      <c r="G76" s="550"/>
      <c r="H76" s="550"/>
      <c r="I76" s="550"/>
      <c r="J76" s="550"/>
    </row>
    <row r="77" spans="2:10" ht="15" customHeight="1">
      <c r="B77" s="550"/>
      <c r="C77" s="550"/>
      <c r="D77" s="550"/>
      <c r="E77" s="550"/>
      <c r="F77" s="550"/>
      <c r="G77" s="550"/>
      <c r="H77" s="550"/>
      <c r="I77" s="550"/>
      <c r="J77" s="550"/>
    </row>
    <row r="78" spans="2:10" ht="15" customHeight="1">
      <c r="B78" s="550"/>
      <c r="C78" s="550"/>
      <c r="D78" s="550"/>
      <c r="E78" s="550"/>
      <c r="F78" s="550"/>
      <c r="G78" s="550"/>
      <c r="H78" s="550"/>
      <c r="I78" s="550"/>
      <c r="J78" s="550"/>
    </row>
    <row r="79" spans="2:10" ht="15" customHeight="1">
      <c r="B79" s="550"/>
      <c r="C79" s="550"/>
      <c r="D79" s="550"/>
      <c r="E79" s="550"/>
      <c r="F79" s="550"/>
      <c r="G79" s="550"/>
      <c r="H79" s="550"/>
      <c r="I79" s="550"/>
      <c r="J79" s="550"/>
    </row>
    <row r="80" spans="2:10" ht="15" customHeight="1">
      <c r="B80" s="550"/>
      <c r="C80" s="550"/>
      <c r="D80" s="550"/>
      <c r="E80" s="550"/>
      <c r="F80" s="550"/>
      <c r="G80" s="550"/>
      <c r="H80" s="550"/>
      <c r="I80" s="550"/>
      <c r="J80" s="550"/>
    </row>
    <row r="81" spans="2:10" ht="15" customHeight="1">
      <c r="B81" s="550"/>
      <c r="C81" s="550"/>
      <c r="D81" s="550"/>
      <c r="E81" s="550"/>
      <c r="F81" s="550"/>
      <c r="G81" s="550"/>
      <c r="H81" s="550"/>
      <c r="I81" s="550"/>
      <c r="J81" s="550"/>
    </row>
    <row r="82" spans="2:10" ht="15" customHeight="1">
      <c r="B82" s="550"/>
      <c r="C82" s="550"/>
      <c r="D82" s="550"/>
      <c r="E82" s="550"/>
      <c r="F82" s="550"/>
      <c r="G82" s="550"/>
      <c r="H82" s="550"/>
      <c r="I82" s="550"/>
      <c r="J82" s="550"/>
    </row>
    <row r="83" spans="2:10" ht="15" customHeight="1">
      <c r="B83" s="550"/>
      <c r="C83" s="550"/>
      <c r="D83" s="550"/>
      <c r="E83" s="550"/>
      <c r="F83" s="550"/>
      <c r="G83" s="550"/>
      <c r="H83" s="550"/>
      <c r="I83" s="550"/>
      <c r="J83" s="550"/>
    </row>
    <row r="84" spans="2:10" ht="15" customHeight="1">
      <c r="B84" s="550"/>
      <c r="C84" s="550"/>
      <c r="D84" s="550"/>
      <c r="E84" s="550"/>
      <c r="F84" s="550"/>
      <c r="G84" s="550"/>
      <c r="H84" s="550"/>
      <c r="I84" s="550"/>
      <c r="J84" s="550"/>
    </row>
    <row r="85" spans="2:10" ht="15" customHeight="1">
      <c r="B85" s="550"/>
      <c r="C85" s="550"/>
      <c r="D85" s="550"/>
      <c r="E85" s="550"/>
      <c r="F85" s="550"/>
      <c r="G85" s="550"/>
      <c r="H85" s="550"/>
      <c r="I85" s="550"/>
      <c r="J85" s="550"/>
    </row>
    <row r="86" spans="2:10" ht="15" customHeight="1">
      <c r="B86" s="550"/>
      <c r="C86" s="550"/>
      <c r="D86" s="550"/>
      <c r="E86" s="550"/>
      <c r="F86" s="550"/>
      <c r="G86" s="550"/>
      <c r="H86" s="550"/>
      <c r="I86" s="550"/>
      <c r="J86" s="550"/>
    </row>
    <row r="87" spans="2:10" ht="15" customHeight="1">
      <c r="B87" s="550"/>
      <c r="C87" s="550"/>
      <c r="D87" s="550"/>
      <c r="E87" s="550"/>
      <c r="F87" s="550"/>
      <c r="G87" s="550"/>
      <c r="H87" s="550"/>
      <c r="I87" s="550"/>
      <c r="J87" s="550"/>
    </row>
    <row r="88" spans="2:10" ht="15" customHeight="1">
      <c r="B88" s="550"/>
      <c r="C88" s="550"/>
      <c r="D88" s="550"/>
      <c r="E88" s="550"/>
      <c r="F88" s="550"/>
      <c r="G88" s="550"/>
      <c r="H88" s="550"/>
      <c r="I88" s="550"/>
      <c r="J88" s="550"/>
    </row>
    <row r="89" spans="2:10" ht="15" customHeight="1">
      <c r="B89" s="550"/>
      <c r="C89" s="550"/>
      <c r="D89" s="550"/>
      <c r="E89" s="550"/>
      <c r="F89" s="550"/>
      <c r="G89" s="550"/>
      <c r="H89" s="550"/>
      <c r="I89" s="550"/>
      <c r="J89" s="550"/>
    </row>
    <row r="90" spans="2:10" ht="15" customHeight="1">
      <c r="B90" s="550"/>
      <c r="C90" s="550"/>
      <c r="D90" s="550"/>
      <c r="E90" s="550"/>
      <c r="F90" s="550"/>
      <c r="G90" s="550"/>
      <c r="H90" s="550"/>
      <c r="I90" s="550"/>
      <c r="J90" s="550"/>
    </row>
    <row r="91" spans="2:10" ht="15" customHeight="1">
      <c r="B91" s="550"/>
      <c r="C91" s="550"/>
      <c r="D91" s="550"/>
      <c r="E91" s="550"/>
      <c r="F91" s="550"/>
      <c r="G91" s="550"/>
      <c r="H91" s="550"/>
      <c r="I91" s="550"/>
      <c r="J91" s="550"/>
    </row>
    <row r="92" spans="2:10" ht="15" customHeight="1">
      <c r="B92" s="550"/>
      <c r="C92" s="550"/>
      <c r="D92" s="550"/>
      <c r="E92" s="550"/>
      <c r="F92" s="550"/>
      <c r="G92" s="550"/>
      <c r="H92" s="550"/>
      <c r="I92" s="550"/>
      <c r="J92" s="550"/>
    </row>
    <row r="93" spans="2:10" ht="15" customHeight="1">
      <c r="B93" s="550"/>
      <c r="C93" s="550"/>
      <c r="D93" s="550"/>
      <c r="E93" s="550"/>
      <c r="F93" s="550"/>
      <c r="G93" s="550"/>
      <c r="H93" s="550"/>
      <c r="I93" s="550"/>
      <c r="J93" s="550"/>
    </row>
    <row r="94" spans="2:10" ht="15" customHeight="1">
      <c r="B94" s="550"/>
      <c r="C94" s="550"/>
      <c r="D94" s="550"/>
      <c r="E94" s="550"/>
      <c r="F94" s="550"/>
      <c r="G94" s="550"/>
      <c r="H94" s="550"/>
      <c r="I94" s="550"/>
      <c r="J94" s="550"/>
    </row>
    <row r="95" spans="2:10" ht="15" customHeight="1">
      <c r="B95" s="550"/>
      <c r="C95" s="550"/>
      <c r="D95" s="550"/>
      <c r="E95" s="550"/>
      <c r="F95" s="550"/>
      <c r="G95" s="550"/>
      <c r="H95" s="550"/>
      <c r="I95" s="550"/>
      <c r="J95" s="550"/>
    </row>
    <row r="96" spans="2:10" ht="15" customHeight="1">
      <c r="B96" s="550"/>
      <c r="C96" s="550"/>
      <c r="D96" s="550"/>
      <c r="E96" s="550"/>
      <c r="F96" s="550"/>
      <c r="G96" s="550"/>
      <c r="H96" s="550"/>
      <c r="I96" s="550"/>
      <c r="J96" s="550"/>
    </row>
    <row r="97" spans="2:10" ht="15" customHeight="1">
      <c r="B97" s="550"/>
      <c r="C97" s="550"/>
      <c r="D97" s="550"/>
      <c r="E97" s="550"/>
      <c r="F97" s="550"/>
      <c r="G97" s="550"/>
      <c r="H97" s="550"/>
      <c r="I97" s="550"/>
      <c r="J97" s="550"/>
    </row>
    <row r="98" spans="2:10" ht="15" customHeight="1">
      <c r="B98" s="550"/>
      <c r="C98" s="550"/>
      <c r="D98" s="550"/>
      <c r="E98" s="550"/>
      <c r="F98" s="550"/>
      <c r="G98" s="550"/>
      <c r="H98" s="550"/>
      <c r="I98" s="550"/>
      <c r="J98" s="550"/>
    </row>
    <row r="99" spans="2:10" ht="15" customHeight="1">
      <c r="B99" s="550"/>
      <c r="C99" s="550"/>
      <c r="D99" s="550"/>
      <c r="E99" s="550"/>
      <c r="F99" s="550"/>
      <c r="G99" s="550"/>
      <c r="H99" s="550"/>
      <c r="I99" s="550"/>
      <c r="J99" s="550"/>
    </row>
    <row r="100" spans="2:10" ht="15" customHeight="1">
      <c r="B100" s="550"/>
      <c r="C100" s="550"/>
      <c r="D100" s="550"/>
      <c r="E100" s="550"/>
      <c r="F100" s="550"/>
      <c r="G100" s="550"/>
      <c r="H100" s="550"/>
      <c r="I100" s="550"/>
      <c r="J100" s="550"/>
    </row>
    <row r="101" spans="2:10" ht="15" customHeight="1">
      <c r="B101" s="550"/>
      <c r="C101" s="550"/>
      <c r="D101" s="550"/>
      <c r="E101" s="550"/>
      <c r="F101" s="550"/>
      <c r="G101" s="550"/>
      <c r="H101" s="550"/>
      <c r="I101" s="550"/>
      <c r="J101" s="550"/>
    </row>
    <row r="102" spans="2:10" ht="15" customHeight="1">
      <c r="B102" s="550"/>
      <c r="C102" s="550"/>
      <c r="D102" s="550"/>
      <c r="E102" s="550"/>
      <c r="F102" s="550"/>
      <c r="G102" s="550"/>
      <c r="H102" s="550"/>
      <c r="I102" s="550"/>
      <c r="J102" s="550"/>
    </row>
    <row r="103" spans="2:10" ht="15" customHeight="1">
      <c r="B103" s="550"/>
      <c r="C103" s="550"/>
      <c r="D103" s="550"/>
      <c r="E103" s="550"/>
      <c r="F103" s="550"/>
      <c r="G103" s="550"/>
      <c r="H103" s="550"/>
      <c r="I103" s="550"/>
      <c r="J103" s="550"/>
    </row>
    <row r="104" spans="2:10" ht="15" customHeight="1">
      <c r="B104" s="550"/>
      <c r="C104" s="550"/>
      <c r="D104" s="550"/>
      <c r="E104" s="550"/>
      <c r="F104" s="550"/>
      <c r="G104" s="550"/>
      <c r="H104" s="550"/>
      <c r="I104" s="550"/>
      <c r="J104" s="550"/>
    </row>
    <row r="105" spans="2:10" ht="15" customHeight="1">
      <c r="B105" s="550"/>
      <c r="C105" s="550"/>
      <c r="D105" s="550"/>
      <c r="E105" s="550"/>
      <c r="F105" s="550"/>
      <c r="G105" s="550"/>
      <c r="H105" s="550"/>
      <c r="I105" s="550"/>
      <c r="J105" s="550"/>
    </row>
    <row r="106" spans="2:10" ht="15" customHeight="1">
      <c r="B106" s="550"/>
      <c r="C106" s="550"/>
      <c r="D106" s="550"/>
      <c r="E106" s="550"/>
      <c r="F106" s="550"/>
      <c r="G106" s="550"/>
      <c r="H106" s="550"/>
      <c r="I106" s="550"/>
      <c r="J106" s="550"/>
    </row>
    <row r="107" spans="2:10" ht="15" customHeight="1">
      <c r="B107" s="550"/>
      <c r="C107" s="550"/>
      <c r="D107" s="550"/>
      <c r="E107" s="550"/>
      <c r="F107" s="550"/>
      <c r="G107" s="550"/>
      <c r="H107" s="550"/>
      <c r="I107" s="550"/>
      <c r="J107" s="550"/>
    </row>
    <row r="108" spans="2:10" ht="15" customHeight="1">
      <c r="B108" s="550"/>
      <c r="C108" s="550"/>
      <c r="D108" s="550"/>
      <c r="E108" s="550"/>
      <c r="F108" s="550"/>
      <c r="G108" s="550"/>
      <c r="H108" s="550"/>
      <c r="I108" s="550"/>
      <c r="J108" s="550"/>
    </row>
    <row r="109" spans="2:10" ht="15" customHeight="1">
      <c r="B109" s="550"/>
      <c r="C109" s="550"/>
      <c r="D109" s="550"/>
      <c r="E109" s="550"/>
      <c r="F109" s="550"/>
      <c r="G109" s="550"/>
      <c r="H109" s="550"/>
      <c r="I109" s="550"/>
      <c r="J109" s="550"/>
    </row>
    <row r="110" spans="2:10" ht="15" customHeight="1">
      <c r="B110" s="550"/>
      <c r="C110" s="550"/>
      <c r="D110" s="550"/>
      <c r="E110" s="550"/>
      <c r="F110" s="550"/>
      <c r="G110" s="550"/>
      <c r="H110" s="550"/>
      <c r="I110" s="550"/>
      <c r="J110" s="550"/>
    </row>
    <row r="111" spans="2:10" ht="15" customHeight="1">
      <c r="B111" s="550"/>
      <c r="C111" s="550"/>
      <c r="D111" s="550"/>
      <c r="E111" s="550"/>
      <c r="F111" s="550"/>
      <c r="G111" s="550"/>
      <c r="H111" s="550"/>
      <c r="I111" s="550"/>
      <c r="J111" s="550"/>
    </row>
    <row r="112" spans="2:10" ht="15" customHeight="1">
      <c r="B112" s="550"/>
      <c r="C112" s="550"/>
      <c r="D112" s="550"/>
      <c r="E112" s="550"/>
      <c r="F112" s="550"/>
      <c r="G112" s="550"/>
      <c r="H112" s="550"/>
      <c r="I112" s="550"/>
      <c r="J112" s="550"/>
    </row>
    <row r="113" spans="2:10" ht="15" customHeight="1">
      <c r="B113" s="550"/>
      <c r="C113" s="550"/>
      <c r="D113" s="550"/>
      <c r="E113" s="550"/>
      <c r="F113" s="550"/>
      <c r="G113" s="550"/>
      <c r="H113" s="550"/>
      <c r="I113" s="550"/>
      <c r="J113" s="550"/>
    </row>
    <row r="114" spans="2:10" ht="15" customHeight="1">
      <c r="B114" s="550"/>
      <c r="C114" s="550"/>
      <c r="D114" s="550"/>
      <c r="E114" s="550"/>
      <c r="F114" s="550"/>
      <c r="G114" s="550"/>
      <c r="H114" s="550"/>
      <c r="I114" s="550"/>
      <c r="J114" s="550"/>
    </row>
    <row r="115" spans="2:10" ht="15" customHeight="1">
      <c r="B115" s="550"/>
      <c r="C115" s="550"/>
      <c r="D115" s="550"/>
      <c r="E115" s="550"/>
      <c r="F115" s="550"/>
      <c r="G115" s="550"/>
      <c r="H115" s="550"/>
      <c r="I115" s="550"/>
      <c r="J115" s="550"/>
    </row>
    <row r="116" spans="2:10" ht="15" customHeight="1">
      <c r="B116" s="550"/>
      <c r="C116" s="550"/>
      <c r="D116" s="550"/>
      <c r="E116" s="550"/>
      <c r="F116" s="550"/>
      <c r="G116" s="550"/>
      <c r="H116" s="550"/>
      <c r="I116" s="550"/>
      <c r="J116" s="550"/>
    </row>
    <row r="117" spans="2:10" ht="15" customHeight="1">
      <c r="B117" s="550"/>
      <c r="C117" s="550"/>
      <c r="D117" s="550"/>
      <c r="E117" s="550"/>
      <c r="F117" s="550"/>
      <c r="G117" s="550"/>
      <c r="H117" s="550"/>
      <c r="I117" s="550"/>
      <c r="J117" s="550"/>
    </row>
    <row r="118" spans="2:10" ht="15" customHeight="1">
      <c r="B118" s="550"/>
      <c r="C118" s="550"/>
      <c r="D118" s="550"/>
      <c r="E118" s="550"/>
      <c r="F118" s="550"/>
      <c r="G118" s="550"/>
      <c r="H118" s="550"/>
      <c r="I118" s="550"/>
      <c r="J118" s="550"/>
    </row>
    <row r="119" spans="2:10" ht="15" customHeight="1">
      <c r="B119" s="550"/>
      <c r="C119" s="550"/>
      <c r="D119" s="550"/>
      <c r="E119" s="550"/>
      <c r="F119" s="550"/>
      <c r="G119" s="550"/>
      <c r="H119" s="550"/>
      <c r="I119" s="550"/>
      <c r="J119" s="550"/>
    </row>
    <row r="120" spans="2:10" ht="15" customHeight="1">
      <c r="B120" s="550"/>
      <c r="C120" s="550"/>
      <c r="D120" s="550"/>
      <c r="E120" s="550"/>
      <c r="F120" s="550"/>
      <c r="G120" s="550"/>
      <c r="H120" s="550"/>
      <c r="I120" s="550"/>
      <c r="J120" s="550"/>
    </row>
    <row r="121" spans="2:10" ht="15" customHeight="1">
      <c r="B121" s="550"/>
      <c r="C121" s="550"/>
      <c r="D121" s="550"/>
      <c r="E121" s="550"/>
      <c r="F121" s="550"/>
      <c r="G121" s="550"/>
      <c r="H121" s="550"/>
      <c r="I121" s="550"/>
      <c r="J121" s="550"/>
    </row>
    <row r="122" spans="2:10" ht="15" customHeight="1">
      <c r="B122" s="550"/>
      <c r="C122" s="550"/>
      <c r="D122" s="550"/>
      <c r="E122" s="550"/>
      <c r="F122" s="550"/>
      <c r="G122" s="550"/>
      <c r="H122" s="550"/>
      <c r="I122" s="550"/>
      <c r="J122" s="550"/>
    </row>
    <row r="123" spans="2:10" ht="15" customHeight="1">
      <c r="B123" s="550"/>
      <c r="C123" s="550"/>
      <c r="D123" s="550"/>
      <c r="E123" s="550"/>
      <c r="F123" s="550"/>
      <c r="G123" s="550"/>
      <c r="H123" s="550"/>
      <c r="I123" s="550"/>
      <c r="J123" s="550"/>
    </row>
    <row r="124" spans="2:10" ht="15" customHeight="1">
      <c r="B124" s="550"/>
      <c r="C124" s="550"/>
      <c r="D124" s="550"/>
      <c r="E124" s="550"/>
      <c r="F124" s="550"/>
      <c r="G124" s="550"/>
      <c r="H124" s="550"/>
      <c r="I124" s="550"/>
      <c r="J124" s="550"/>
    </row>
    <row r="125" spans="2:10" ht="15" customHeight="1">
      <c r="B125" s="550"/>
      <c r="C125" s="550"/>
      <c r="D125" s="550"/>
      <c r="E125" s="550"/>
      <c r="F125" s="550"/>
      <c r="G125" s="550"/>
      <c r="H125" s="550"/>
      <c r="I125" s="550"/>
      <c r="J125" s="550"/>
    </row>
    <row r="126" spans="2:10" ht="15" customHeight="1">
      <c r="B126" s="550"/>
      <c r="C126" s="550"/>
      <c r="D126" s="550"/>
      <c r="E126" s="550"/>
      <c r="F126" s="550"/>
      <c r="G126" s="550"/>
      <c r="H126" s="550"/>
      <c r="I126" s="550"/>
      <c r="J126" s="550"/>
    </row>
    <row r="127" spans="2:10" ht="15" customHeight="1">
      <c r="B127" s="550"/>
      <c r="C127" s="550"/>
      <c r="D127" s="550"/>
      <c r="E127" s="550"/>
      <c r="F127" s="550"/>
      <c r="G127" s="550"/>
      <c r="H127" s="550"/>
      <c r="I127" s="550"/>
      <c r="J127" s="550"/>
    </row>
    <row r="128" spans="2:10" ht="15" customHeight="1">
      <c r="B128" s="550"/>
      <c r="C128" s="550"/>
      <c r="D128" s="550"/>
      <c r="E128" s="550"/>
      <c r="F128" s="550"/>
      <c r="G128" s="550"/>
      <c r="H128" s="550"/>
      <c r="I128" s="550"/>
      <c r="J128" s="550"/>
    </row>
    <row r="129" spans="2:10" ht="15" customHeight="1">
      <c r="B129" s="550"/>
      <c r="C129" s="550"/>
      <c r="D129" s="550"/>
      <c r="E129" s="550"/>
      <c r="F129" s="550"/>
      <c r="G129" s="550"/>
      <c r="H129" s="550"/>
      <c r="I129" s="550"/>
      <c r="J129" s="550"/>
    </row>
    <row r="130" spans="2:10" ht="15" customHeight="1">
      <c r="B130" s="550"/>
      <c r="C130" s="550"/>
      <c r="D130" s="550"/>
      <c r="E130" s="550"/>
      <c r="F130" s="550"/>
      <c r="G130" s="550"/>
      <c r="H130" s="550"/>
      <c r="I130" s="550"/>
      <c r="J130" s="550"/>
    </row>
    <row r="131" spans="2:10" ht="15" customHeight="1">
      <c r="B131" s="550"/>
      <c r="C131" s="550"/>
      <c r="D131" s="550"/>
      <c r="E131" s="550"/>
      <c r="F131" s="550"/>
      <c r="G131" s="550"/>
      <c r="H131" s="550"/>
      <c r="I131" s="550"/>
      <c r="J131" s="550"/>
    </row>
    <row r="132" spans="2:10" ht="15" customHeight="1">
      <c r="B132" s="550"/>
      <c r="C132" s="550"/>
      <c r="D132" s="550"/>
      <c r="E132" s="550"/>
      <c r="F132" s="550"/>
      <c r="G132" s="550"/>
      <c r="H132" s="550"/>
      <c r="I132" s="550"/>
      <c r="J132" s="550"/>
    </row>
    <row r="133" spans="2:10" ht="15" customHeight="1">
      <c r="B133" s="550"/>
      <c r="C133" s="550"/>
      <c r="D133" s="550"/>
      <c r="E133" s="550"/>
      <c r="F133" s="550"/>
      <c r="G133" s="550"/>
      <c r="H133" s="550"/>
      <c r="I133" s="550"/>
      <c r="J133" s="550"/>
    </row>
    <row r="134" spans="2:10" ht="15" customHeight="1">
      <c r="B134" s="550"/>
      <c r="C134" s="550"/>
      <c r="D134" s="550"/>
      <c r="E134" s="550"/>
      <c r="F134" s="550"/>
      <c r="G134" s="550"/>
      <c r="H134" s="550"/>
      <c r="I134" s="550"/>
      <c r="J134" s="550"/>
    </row>
    <row r="135" spans="2:10" ht="15" customHeight="1">
      <c r="B135" s="550"/>
      <c r="C135" s="550"/>
      <c r="D135" s="550"/>
      <c r="E135" s="550"/>
      <c r="F135" s="550"/>
      <c r="G135" s="550"/>
      <c r="H135" s="550"/>
      <c r="I135" s="550"/>
      <c r="J135" s="550"/>
    </row>
    <row r="136" spans="2:10" ht="15" customHeight="1">
      <c r="B136" s="550"/>
      <c r="C136" s="550"/>
      <c r="D136" s="550"/>
      <c r="E136" s="550"/>
      <c r="F136" s="550"/>
      <c r="G136" s="550"/>
      <c r="H136" s="550"/>
      <c r="I136" s="550"/>
      <c r="J136" s="550"/>
    </row>
    <row r="137" spans="2:10" ht="15" customHeight="1">
      <c r="B137" s="550"/>
      <c r="C137" s="550"/>
      <c r="D137" s="550"/>
      <c r="E137" s="550"/>
      <c r="F137" s="550"/>
      <c r="G137" s="550"/>
      <c r="H137" s="550"/>
      <c r="I137" s="550"/>
      <c r="J137" s="550"/>
    </row>
    <row r="138" spans="2:10" ht="15" customHeight="1">
      <c r="B138" s="550"/>
      <c r="C138" s="550"/>
      <c r="D138" s="550"/>
      <c r="E138" s="550"/>
      <c r="F138" s="550"/>
      <c r="G138" s="550"/>
      <c r="H138" s="550"/>
      <c r="I138" s="550"/>
      <c r="J138" s="550"/>
    </row>
    <row r="139" spans="2:10" ht="15" customHeight="1">
      <c r="B139" s="550"/>
      <c r="C139" s="550"/>
      <c r="D139" s="550"/>
      <c r="E139" s="550"/>
      <c r="F139" s="550"/>
      <c r="G139" s="550"/>
      <c r="H139" s="550"/>
      <c r="I139" s="550"/>
      <c r="J139" s="550"/>
    </row>
    <row r="140" spans="2:10" ht="15" customHeight="1">
      <c r="B140" s="550"/>
      <c r="C140" s="550"/>
      <c r="D140" s="550"/>
      <c r="E140" s="550"/>
      <c r="F140" s="550"/>
      <c r="G140" s="550"/>
      <c r="H140" s="550"/>
      <c r="I140" s="550"/>
      <c r="J140" s="550"/>
    </row>
    <row r="141" spans="2:10" ht="15" customHeight="1">
      <c r="B141" s="550"/>
      <c r="C141" s="550"/>
      <c r="D141" s="550"/>
      <c r="E141" s="550"/>
      <c r="F141" s="550"/>
      <c r="G141" s="550"/>
      <c r="H141" s="550"/>
      <c r="I141" s="550"/>
      <c r="J141" s="550"/>
    </row>
    <row r="142" spans="2:10" ht="15" customHeight="1">
      <c r="B142" s="550"/>
      <c r="C142" s="550"/>
      <c r="D142" s="550"/>
      <c r="E142" s="550"/>
      <c r="F142" s="550"/>
      <c r="G142" s="550"/>
      <c r="H142" s="550"/>
      <c r="I142" s="550"/>
      <c r="J142" s="550"/>
    </row>
    <row r="143" spans="2:10" ht="15" customHeight="1">
      <c r="B143" s="550"/>
      <c r="C143" s="550"/>
      <c r="D143" s="550"/>
      <c r="E143" s="550"/>
      <c r="F143" s="550"/>
      <c r="G143" s="550"/>
      <c r="H143" s="550"/>
      <c r="I143" s="550"/>
      <c r="J143" s="550"/>
    </row>
    <row r="144" spans="2:10" ht="15" customHeight="1">
      <c r="B144" s="550"/>
      <c r="C144" s="550"/>
      <c r="D144" s="550"/>
      <c r="E144" s="550"/>
      <c r="F144" s="550"/>
      <c r="G144" s="550"/>
      <c r="H144" s="550"/>
      <c r="I144" s="550"/>
      <c r="J144" s="550"/>
    </row>
    <row r="145" spans="2:10" ht="15" customHeight="1">
      <c r="B145" s="550"/>
      <c r="C145" s="550"/>
      <c r="D145" s="550"/>
      <c r="E145" s="550"/>
      <c r="F145" s="550"/>
      <c r="G145" s="550"/>
      <c r="H145" s="550"/>
      <c r="I145" s="550"/>
      <c r="J145" s="550"/>
    </row>
    <row r="146" spans="2:10" ht="15" customHeight="1">
      <c r="B146" s="550"/>
      <c r="C146" s="550"/>
      <c r="D146" s="550"/>
      <c r="E146" s="550"/>
      <c r="F146" s="550"/>
      <c r="G146" s="550"/>
      <c r="H146" s="550"/>
      <c r="I146" s="550"/>
      <c r="J146" s="550"/>
    </row>
    <row r="147" spans="2:10" ht="15" customHeight="1">
      <c r="B147" s="550"/>
      <c r="C147" s="550"/>
      <c r="D147" s="550"/>
      <c r="E147" s="550"/>
      <c r="F147" s="550"/>
      <c r="G147" s="550"/>
      <c r="H147" s="550"/>
      <c r="I147" s="550"/>
      <c r="J147" s="550"/>
    </row>
    <row r="148" spans="2:10" ht="15" customHeight="1">
      <c r="B148" s="550"/>
      <c r="C148" s="550"/>
      <c r="D148" s="550"/>
      <c r="E148" s="550"/>
      <c r="F148" s="550"/>
      <c r="G148" s="550"/>
      <c r="H148" s="550"/>
      <c r="I148" s="550"/>
      <c r="J148" s="550"/>
    </row>
    <row r="149" spans="2:10" ht="15" customHeight="1">
      <c r="B149" s="550"/>
      <c r="C149" s="550"/>
      <c r="D149" s="550"/>
      <c r="E149" s="550"/>
      <c r="F149" s="550"/>
      <c r="G149" s="550"/>
      <c r="H149" s="550"/>
      <c r="I149" s="550"/>
      <c r="J149" s="550"/>
    </row>
    <row r="150" spans="2:10" ht="15" customHeight="1">
      <c r="B150" s="550"/>
      <c r="C150" s="550"/>
      <c r="D150" s="550"/>
      <c r="E150" s="550"/>
      <c r="F150" s="550"/>
      <c r="G150" s="550"/>
      <c r="H150" s="550"/>
      <c r="I150" s="550"/>
      <c r="J150" s="550"/>
    </row>
    <row r="151" spans="2:10" ht="15" customHeight="1">
      <c r="B151" s="550"/>
      <c r="C151" s="550"/>
      <c r="D151" s="550"/>
      <c r="E151" s="550"/>
      <c r="F151" s="550"/>
      <c r="G151" s="550"/>
      <c r="H151" s="550"/>
      <c r="I151" s="550"/>
      <c r="J151" s="550"/>
    </row>
    <row r="152" spans="2:10" ht="15" customHeight="1">
      <c r="B152" s="550"/>
      <c r="C152" s="550"/>
      <c r="D152" s="550"/>
      <c r="E152" s="550"/>
      <c r="F152" s="550"/>
      <c r="G152" s="550"/>
      <c r="H152" s="550"/>
      <c r="I152" s="550"/>
      <c r="J152" s="550"/>
    </row>
    <row r="153" spans="2:10" ht="15" customHeight="1">
      <c r="B153" s="550"/>
      <c r="C153" s="550"/>
      <c r="D153" s="550"/>
      <c r="E153" s="550"/>
      <c r="F153" s="550"/>
      <c r="G153" s="550"/>
      <c r="H153" s="550"/>
      <c r="I153" s="550"/>
      <c r="J153" s="550"/>
    </row>
    <row r="154" spans="2:10" ht="15" customHeight="1">
      <c r="B154" s="550"/>
      <c r="C154" s="550"/>
      <c r="D154" s="550"/>
      <c r="E154" s="550"/>
      <c r="F154" s="550"/>
      <c r="G154" s="550"/>
      <c r="H154" s="550"/>
      <c r="I154" s="550"/>
      <c r="J154" s="550"/>
    </row>
    <row r="155" spans="2:10" ht="15" customHeight="1">
      <c r="B155" s="550"/>
      <c r="C155" s="550"/>
      <c r="D155" s="550"/>
      <c r="E155" s="550"/>
      <c r="F155" s="550"/>
      <c r="G155" s="550"/>
      <c r="H155" s="550"/>
      <c r="I155" s="550"/>
      <c r="J155" s="550"/>
    </row>
    <row r="156" spans="2:10" ht="15" customHeight="1">
      <c r="B156" s="550"/>
      <c r="C156" s="550"/>
      <c r="D156" s="550"/>
      <c r="E156" s="550"/>
      <c r="F156" s="550"/>
      <c r="G156" s="550"/>
      <c r="H156" s="550"/>
      <c r="I156" s="550"/>
      <c r="J156" s="550"/>
    </row>
    <row r="157" spans="2:10" ht="15" customHeight="1">
      <c r="B157" s="550"/>
      <c r="C157" s="550"/>
      <c r="D157" s="550"/>
      <c r="E157" s="550"/>
      <c r="F157" s="550"/>
      <c r="G157" s="550"/>
      <c r="H157" s="550"/>
      <c r="I157" s="550"/>
      <c r="J157" s="550"/>
    </row>
    <row r="158" spans="2:10" ht="15" customHeight="1">
      <c r="B158" s="550"/>
      <c r="C158" s="550"/>
      <c r="D158" s="550"/>
      <c r="E158" s="550"/>
      <c r="F158" s="550"/>
      <c r="G158" s="550"/>
      <c r="H158" s="550"/>
      <c r="I158" s="550"/>
      <c r="J158" s="550"/>
    </row>
    <row r="159" spans="2:10" ht="15" customHeight="1">
      <c r="B159" s="550"/>
      <c r="C159" s="550"/>
      <c r="D159" s="550"/>
      <c r="E159" s="550"/>
      <c r="F159" s="550"/>
      <c r="G159" s="550"/>
      <c r="H159" s="550"/>
      <c r="I159" s="550"/>
      <c r="J159" s="550"/>
    </row>
    <row r="160" spans="2:10" ht="15" customHeight="1">
      <c r="B160" s="550"/>
      <c r="C160" s="550"/>
      <c r="D160" s="550"/>
      <c r="E160" s="550"/>
      <c r="F160" s="550"/>
      <c r="G160" s="550"/>
      <c r="H160" s="550"/>
      <c r="I160" s="550"/>
      <c r="J160" s="550"/>
    </row>
    <row r="161" spans="2:10" ht="15" customHeight="1">
      <c r="B161" s="550"/>
      <c r="C161" s="550"/>
      <c r="D161" s="550"/>
      <c r="E161" s="550"/>
      <c r="F161" s="550"/>
      <c r="G161" s="550"/>
      <c r="H161" s="550"/>
      <c r="I161" s="550"/>
      <c r="J161" s="550"/>
    </row>
    <row r="162" spans="2:10" ht="15" customHeight="1">
      <c r="B162" s="550"/>
      <c r="C162" s="550"/>
      <c r="D162" s="550"/>
      <c r="E162" s="550"/>
      <c r="F162" s="550"/>
      <c r="G162" s="550"/>
      <c r="H162" s="550"/>
      <c r="I162" s="550"/>
      <c r="J162" s="550"/>
    </row>
    <row r="163" spans="2:10" ht="15" customHeight="1">
      <c r="B163" s="550"/>
      <c r="C163" s="550"/>
      <c r="D163" s="550"/>
      <c r="E163" s="550"/>
      <c r="F163" s="550"/>
      <c r="G163" s="550"/>
      <c r="H163" s="550"/>
      <c r="I163" s="550"/>
      <c r="J163" s="550"/>
    </row>
    <row r="164" spans="2:10" ht="15" customHeight="1">
      <c r="B164" s="550"/>
      <c r="C164" s="550"/>
      <c r="D164" s="550"/>
      <c r="E164" s="550"/>
      <c r="F164" s="550"/>
      <c r="G164" s="550"/>
      <c r="H164" s="550"/>
      <c r="I164" s="550"/>
      <c r="J164" s="550"/>
    </row>
    <row r="165" spans="2:10" ht="15" customHeight="1">
      <c r="B165" s="550"/>
      <c r="C165" s="550"/>
      <c r="D165" s="550"/>
      <c r="E165" s="550"/>
      <c r="F165" s="550"/>
      <c r="G165" s="550"/>
      <c r="H165" s="550"/>
      <c r="I165" s="550"/>
      <c r="J165" s="550"/>
    </row>
    <row r="166" spans="2:10" ht="15" customHeight="1">
      <c r="B166" s="550"/>
      <c r="C166" s="550"/>
      <c r="D166" s="550"/>
      <c r="E166" s="550"/>
      <c r="F166" s="550"/>
      <c r="G166" s="550"/>
      <c r="H166" s="550"/>
      <c r="I166" s="550"/>
      <c r="J166" s="550"/>
    </row>
    <row r="167" spans="2:10" ht="15" customHeight="1">
      <c r="B167" s="550"/>
      <c r="C167" s="550"/>
      <c r="D167" s="550"/>
      <c r="E167" s="550"/>
      <c r="F167" s="550"/>
      <c r="G167" s="550"/>
      <c r="H167" s="550"/>
      <c r="I167" s="550"/>
      <c r="J167" s="550"/>
    </row>
    <row r="168" spans="2:10" ht="15" customHeight="1">
      <c r="B168" s="550"/>
      <c r="C168" s="550"/>
      <c r="D168" s="550"/>
      <c r="E168" s="550"/>
      <c r="F168" s="550"/>
      <c r="G168" s="550"/>
      <c r="H168" s="550"/>
      <c r="I168" s="550"/>
      <c r="J168" s="550"/>
    </row>
    <row r="169" spans="2:10" ht="15" customHeight="1">
      <c r="B169" s="550"/>
      <c r="C169" s="550"/>
      <c r="D169" s="550"/>
      <c r="E169" s="550"/>
      <c r="F169" s="550"/>
      <c r="G169" s="550"/>
      <c r="H169" s="550"/>
      <c r="I169" s="550"/>
      <c r="J169" s="550"/>
    </row>
    <row r="170" spans="2:10" ht="15" customHeight="1">
      <c r="B170" s="550"/>
      <c r="C170" s="550"/>
      <c r="D170" s="550"/>
      <c r="E170" s="550"/>
      <c r="F170" s="550"/>
      <c r="G170" s="550"/>
      <c r="H170" s="550"/>
      <c r="I170" s="550"/>
      <c r="J170" s="550"/>
    </row>
    <row r="171" spans="2:10" ht="15" customHeight="1">
      <c r="B171" s="550"/>
      <c r="C171" s="550"/>
      <c r="D171" s="550"/>
      <c r="E171" s="550"/>
      <c r="F171" s="550"/>
      <c r="G171" s="550"/>
      <c r="H171" s="550"/>
      <c r="I171" s="550"/>
      <c r="J171" s="550"/>
    </row>
    <row r="172" spans="2:10" ht="15" customHeight="1">
      <c r="B172" s="550"/>
      <c r="C172" s="550"/>
      <c r="D172" s="550"/>
      <c r="E172" s="550"/>
      <c r="F172" s="550"/>
      <c r="G172" s="550"/>
      <c r="H172" s="550"/>
      <c r="I172" s="550"/>
      <c r="J172" s="550"/>
    </row>
    <row r="173" spans="2:10" ht="15" customHeight="1">
      <c r="B173" s="550"/>
      <c r="C173" s="550"/>
      <c r="D173" s="550"/>
      <c r="E173" s="550"/>
      <c r="F173" s="550"/>
      <c r="G173" s="550"/>
      <c r="H173" s="550"/>
      <c r="I173" s="550"/>
      <c r="J173" s="550"/>
    </row>
    <row r="174" spans="2:10" ht="15" customHeight="1">
      <c r="B174" s="550"/>
      <c r="C174" s="550"/>
      <c r="D174" s="550"/>
      <c r="E174" s="550"/>
      <c r="F174" s="550"/>
      <c r="G174" s="550"/>
      <c r="H174" s="550"/>
      <c r="I174" s="550"/>
      <c r="J174" s="550"/>
    </row>
    <row r="175" spans="2:10" ht="15" customHeight="1">
      <c r="B175" s="550"/>
      <c r="C175" s="550"/>
      <c r="D175" s="550"/>
      <c r="E175" s="550"/>
      <c r="F175" s="550"/>
      <c r="G175" s="550"/>
      <c r="H175" s="550"/>
      <c r="I175" s="550"/>
      <c r="J175" s="550"/>
    </row>
    <row r="176" spans="2:10" ht="15" customHeight="1">
      <c r="B176" s="550"/>
      <c r="C176" s="550"/>
      <c r="D176" s="550"/>
      <c r="E176" s="550"/>
      <c r="F176" s="550"/>
      <c r="G176" s="550"/>
      <c r="H176" s="550"/>
      <c r="I176" s="550"/>
      <c r="J176" s="550"/>
    </row>
    <row r="177" spans="2:10" ht="15" customHeight="1">
      <c r="B177" s="550"/>
      <c r="C177" s="550"/>
      <c r="D177" s="550"/>
      <c r="E177" s="550"/>
      <c r="F177" s="550"/>
      <c r="G177" s="550"/>
      <c r="H177" s="550"/>
      <c r="I177" s="550"/>
      <c r="J177" s="550"/>
    </row>
    <row r="178" spans="2:10" ht="15" customHeight="1">
      <c r="B178" s="550"/>
      <c r="C178" s="550"/>
      <c r="D178" s="550"/>
      <c r="E178" s="550"/>
      <c r="F178" s="550"/>
      <c r="G178" s="550"/>
      <c r="H178" s="550"/>
      <c r="I178" s="550"/>
      <c r="J178" s="550"/>
    </row>
    <row r="179" spans="2:10" ht="15" customHeight="1">
      <c r="B179" s="550"/>
      <c r="C179" s="550"/>
      <c r="D179" s="550"/>
      <c r="E179" s="550"/>
      <c r="F179" s="550"/>
      <c r="G179" s="550"/>
      <c r="H179" s="550"/>
      <c r="I179" s="550"/>
      <c r="J179" s="550"/>
    </row>
    <row r="180" spans="2:10" ht="15" customHeight="1">
      <c r="B180" s="550"/>
      <c r="C180" s="550"/>
      <c r="D180" s="550"/>
      <c r="E180" s="550"/>
      <c r="F180" s="550"/>
      <c r="G180" s="550"/>
      <c r="H180" s="550"/>
      <c r="I180" s="550"/>
      <c r="J180" s="550"/>
    </row>
    <row r="181" spans="2:10" ht="15" customHeight="1">
      <c r="B181" s="550"/>
      <c r="C181" s="550"/>
      <c r="D181" s="550"/>
      <c r="E181" s="550"/>
      <c r="F181" s="550"/>
      <c r="G181" s="550"/>
      <c r="H181" s="550"/>
      <c r="I181" s="550"/>
      <c r="J181" s="550"/>
    </row>
    <row r="182" spans="2:10" ht="15" customHeight="1">
      <c r="B182" s="550"/>
      <c r="C182" s="550"/>
      <c r="D182" s="550"/>
      <c r="E182" s="550"/>
      <c r="F182" s="550"/>
      <c r="G182" s="550"/>
      <c r="H182" s="550"/>
      <c r="I182" s="550"/>
      <c r="J182" s="550"/>
    </row>
    <row r="183" spans="2:10" ht="15" customHeight="1">
      <c r="B183" s="550"/>
      <c r="C183" s="550"/>
      <c r="D183" s="550"/>
      <c r="E183" s="550"/>
      <c r="F183" s="550"/>
      <c r="G183" s="550"/>
      <c r="H183" s="550"/>
      <c r="I183" s="550"/>
      <c r="J183" s="550"/>
    </row>
    <row r="184" spans="2:10" ht="15" customHeight="1">
      <c r="B184" s="550"/>
      <c r="C184" s="550"/>
      <c r="D184" s="550"/>
      <c r="E184" s="550"/>
      <c r="F184" s="550"/>
      <c r="G184" s="550"/>
      <c r="H184" s="550"/>
      <c r="I184" s="550"/>
      <c r="J184" s="550"/>
    </row>
    <row r="185" spans="2:10" ht="15" customHeight="1">
      <c r="B185" s="550"/>
      <c r="C185" s="550"/>
      <c r="D185" s="550"/>
      <c r="E185" s="550"/>
      <c r="F185" s="550"/>
      <c r="G185" s="550"/>
      <c r="H185" s="550"/>
      <c r="I185" s="550"/>
      <c r="J185" s="550"/>
    </row>
    <row r="186" spans="2:10" ht="15" customHeight="1">
      <c r="B186" s="550"/>
      <c r="C186" s="550"/>
      <c r="D186" s="550"/>
      <c r="E186" s="550"/>
      <c r="F186" s="550"/>
      <c r="G186" s="550"/>
      <c r="H186" s="550"/>
      <c r="I186" s="550"/>
      <c r="J186" s="550"/>
    </row>
    <row r="187" spans="2:10" ht="15" customHeight="1">
      <c r="B187" s="550"/>
      <c r="C187" s="550"/>
      <c r="D187" s="550"/>
      <c r="E187" s="550"/>
      <c r="F187" s="550"/>
      <c r="G187" s="550"/>
      <c r="H187" s="550"/>
      <c r="I187" s="550"/>
      <c r="J187" s="550"/>
    </row>
    <row r="188" spans="2:10" ht="15" customHeight="1">
      <c r="B188" s="550"/>
      <c r="C188" s="550"/>
      <c r="D188" s="550"/>
      <c r="E188" s="550"/>
      <c r="F188" s="550"/>
      <c r="G188" s="550"/>
      <c r="H188" s="550"/>
      <c r="I188" s="550"/>
      <c r="J188" s="550"/>
    </row>
    <row r="189" spans="2:10" ht="15" customHeight="1">
      <c r="B189" s="550"/>
      <c r="C189" s="550"/>
      <c r="D189" s="550"/>
      <c r="E189" s="550"/>
      <c r="F189" s="550"/>
      <c r="G189" s="550"/>
      <c r="H189" s="550"/>
      <c r="I189" s="550"/>
      <c r="J189" s="550"/>
    </row>
    <row r="190" spans="2:10" ht="15" customHeight="1">
      <c r="B190" s="550"/>
      <c r="C190" s="550"/>
      <c r="D190" s="550"/>
      <c r="E190" s="550"/>
      <c r="F190" s="550"/>
      <c r="G190" s="550"/>
      <c r="H190" s="550"/>
      <c r="I190" s="550"/>
      <c r="J190" s="550"/>
    </row>
    <row r="191" spans="2:10" ht="15" customHeight="1">
      <c r="B191" s="550"/>
      <c r="C191" s="550"/>
      <c r="D191" s="550"/>
      <c r="E191" s="550"/>
      <c r="F191" s="550"/>
      <c r="G191" s="550"/>
      <c r="H191" s="550"/>
      <c r="I191" s="550"/>
      <c r="J191" s="550"/>
    </row>
    <row r="192" spans="2:10" ht="15" customHeight="1">
      <c r="B192" s="550"/>
      <c r="C192" s="550"/>
      <c r="D192" s="550"/>
      <c r="E192" s="550"/>
      <c r="F192" s="550"/>
      <c r="G192" s="550"/>
      <c r="H192" s="550"/>
      <c r="I192" s="550"/>
      <c r="J192" s="550"/>
    </row>
    <row r="193" spans="2:10" ht="15" customHeight="1">
      <c r="B193" s="550"/>
      <c r="C193" s="550"/>
      <c r="D193" s="550"/>
      <c r="E193" s="550"/>
      <c r="F193" s="550"/>
      <c r="G193" s="550"/>
      <c r="H193" s="550"/>
      <c r="I193" s="550"/>
      <c r="J193" s="550"/>
    </row>
    <row r="194" spans="2:10" ht="15" customHeight="1">
      <c r="B194" s="550"/>
      <c r="C194" s="550"/>
      <c r="D194" s="550"/>
      <c r="E194" s="550"/>
      <c r="F194" s="550"/>
      <c r="G194" s="550"/>
      <c r="H194" s="550"/>
      <c r="I194" s="550"/>
      <c r="J194" s="550"/>
    </row>
    <row r="195" spans="2:10" ht="15" customHeight="1">
      <c r="B195" s="550"/>
      <c r="C195" s="550"/>
      <c r="D195" s="550"/>
      <c r="E195" s="550"/>
      <c r="F195" s="550"/>
      <c r="G195" s="550"/>
      <c r="H195" s="550"/>
      <c r="I195" s="550"/>
      <c r="J195" s="550"/>
    </row>
    <row r="196" spans="2:10" ht="15" customHeight="1">
      <c r="B196" s="550"/>
      <c r="C196" s="550"/>
      <c r="D196" s="550"/>
      <c r="E196" s="550"/>
      <c r="F196" s="550"/>
      <c r="G196" s="550"/>
      <c r="H196" s="550"/>
      <c r="I196" s="550"/>
      <c r="J196" s="550"/>
    </row>
    <row r="197" spans="2:10" ht="15" customHeight="1">
      <c r="B197" s="550"/>
      <c r="C197" s="550"/>
      <c r="D197" s="550"/>
      <c r="E197" s="550"/>
      <c r="F197" s="550"/>
      <c r="G197" s="550"/>
      <c r="H197" s="550"/>
      <c r="I197" s="550"/>
      <c r="J197" s="550"/>
    </row>
    <row r="198" spans="2:10" ht="15" customHeight="1">
      <c r="B198" s="550"/>
      <c r="C198" s="550"/>
      <c r="D198" s="550"/>
      <c r="E198" s="550"/>
      <c r="F198" s="550"/>
      <c r="G198" s="550"/>
      <c r="H198" s="550"/>
      <c r="I198" s="550"/>
      <c r="J198" s="550"/>
    </row>
    <row r="199" spans="2:10" ht="15" customHeight="1">
      <c r="B199" s="550"/>
      <c r="C199" s="550"/>
      <c r="D199" s="550"/>
      <c r="E199" s="550"/>
      <c r="F199" s="550"/>
      <c r="G199" s="550"/>
      <c r="H199" s="550"/>
      <c r="I199" s="550"/>
      <c r="J199" s="550"/>
    </row>
    <row r="200" spans="2:10" ht="15" customHeight="1">
      <c r="B200" s="550"/>
      <c r="C200" s="550"/>
      <c r="D200" s="550"/>
      <c r="E200" s="550"/>
      <c r="F200" s="550"/>
      <c r="G200" s="550"/>
      <c r="H200" s="550"/>
      <c r="I200" s="550"/>
      <c r="J200" s="550"/>
    </row>
    <row r="201" spans="2:10" ht="15" customHeight="1">
      <c r="B201" s="550"/>
      <c r="C201" s="550"/>
      <c r="D201" s="550"/>
      <c r="E201" s="550"/>
      <c r="F201" s="550"/>
      <c r="G201" s="550"/>
      <c r="H201" s="550"/>
      <c r="I201" s="550"/>
      <c r="J201" s="550"/>
    </row>
    <row r="202" spans="2:10" ht="15" customHeight="1">
      <c r="B202" s="550"/>
      <c r="C202" s="550"/>
      <c r="D202" s="550"/>
      <c r="E202" s="550"/>
      <c r="F202" s="550"/>
      <c r="G202" s="550"/>
      <c r="H202" s="550"/>
      <c r="I202" s="550"/>
      <c r="J202" s="550"/>
    </row>
    <row r="203" spans="2:10" ht="15" customHeight="1">
      <c r="B203" s="550"/>
      <c r="C203" s="550"/>
      <c r="D203" s="550"/>
      <c r="E203" s="550"/>
      <c r="F203" s="550"/>
      <c r="G203" s="550"/>
      <c r="H203" s="550"/>
      <c r="I203" s="550"/>
      <c r="J203" s="550"/>
    </row>
    <row r="204" spans="2:10" ht="15" customHeight="1">
      <c r="B204" s="550"/>
      <c r="C204" s="550"/>
      <c r="D204" s="550"/>
      <c r="E204" s="550"/>
      <c r="F204" s="550"/>
      <c r="G204" s="550"/>
      <c r="H204" s="550"/>
      <c r="I204" s="550"/>
      <c r="J204" s="550"/>
    </row>
    <row r="205" spans="2:10" ht="15" customHeight="1">
      <c r="B205" s="550"/>
      <c r="C205" s="550"/>
      <c r="D205" s="550"/>
      <c r="E205" s="550"/>
      <c r="F205" s="550"/>
      <c r="G205" s="550"/>
      <c r="H205" s="550"/>
      <c r="I205" s="550"/>
      <c r="J205" s="550"/>
    </row>
    <row r="206" spans="2:10" ht="15" customHeight="1">
      <c r="B206" s="550"/>
      <c r="C206" s="550"/>
      <c r="D206" s="550"/>
      <c r="E206" s="550"/>
      <c r="F206" s="550"/>
      <c r="G206" s="550"/>
      <c r="H206" s="550"/>
      <c r="I206" s="550"/>
      <c r="J206" s="550"/>
    </row>
    <row r="207" spans="2:10" ht="15" customHeight="1">
      <c r="B207" s="550"/>
      <c r="C207" s="550"/>
      <c r="D207" s="550"/>
      <c r="E207" s="550"/>
      <c r="F207" s="550"/>
      <c r="G207" s="550"/>
      <c r="H207" s="550"/>
      <c r="I207" s="550"/>
      <c r="J207" s="550"/>
    </row>
    <row r="208" spans="2:10" ht="15" customHeight="1">
      <c r="B208" s="550"/>
      <c r="C208" s="550"/>
      <c r="D208" s="550"/>
      <c r="E208" s="550"/>
      <c r="F208" s="550"/>
      <c r="G208" s="550"/>
      <c r="H208" s="550"/>
      <c r="I208" s="550"/>
      <c r="J208" s="550"/>
    </row>
    <row r="209" spans="2:10" ht="15" customHeight="1">
      <c r="B209" s="550"/>
      <c r="C209" s="550"/>
      <c r="D209" s="550"/>
      <c r="E209" s="550"/>
      <c r="F209" s="550"/>
      <c r="G209" s="550"/>
      <c r="H209" s="550"/>
      <c r="I209" s="550"/>
      <c r="J209" s="550"/>
    </row>
    <row r="210" spans="2:10" ht="15" customHeight="1">
      <c r="B210" s="550"/>
      <c r="C210" s="550"/>
      <c r="D210" s="550"/>
      <c r="E210" s="550"/>
      <c r="F210" s="550"/>
      <c r="G210" s="550"/>
      <c r="H210" s="550"/>
      <c r="I210" s="550"/>
      <c r="J210" s="550"/>
    </row>
    <row r="211" spans="2:10" ht="15" customHeight="1">
      <c r="B211" s="550"/>
      <c r="C211" s="550"/>
      <c r="D211" s="550"/>
      <c r="E211" s="550"/>
      <c r="F211" s="550"/>
      <c r="G211" s="550"/>
      <c r="H211" s="550"/>
      <c r="I211" s="550"/>
      <c r="J211" s="550"/>
    </row>
    <row r="212" spans="2:10" ht="15" customHeight="1">
      <c r="B212" s="550"/>
      <c r="C212" s="550"/>
      <c r="D212" s="550"/>
      <c r="E212" s="550"/>
      <c r="F212" s="550"/>
      <c r="G212" s="550"/>
      <c r="H212" s="550"/>
      <c r="I212" s="550"/>
      <c r="J212" s="550"/>
    </row>
    <row r="213" spans="2:10" ht="15" customHeight="1">
      <c r="B213" s="550"/>
      <c r="C213" s="550"/>
      <c r="D213" s="550"/>
      <c r="E213" s="550"/>
      <c r="F213" s="550"/>
      <c r="G213" s="550"/>
      <c r="H213" s="550"/>
      <c r="I213" s="550"/>
      <c r="J213" s="550"/>
    </row>
    <row r="214" spans="2:10" ht="15" customHeight="1">
      <c r="B214" s="550"/>
      <c r="C214" s="550"/>
      <c r="D214" s="550"/>
      <c r="E214" s="550"/>
      <c r="F214" s="550"/>
      <c r="G214" s="550"/>
      <c r="H214" s="550"/>
      <c r="I214" s="550"/>
      <c r="J214" s="550"/>
    </row>
    <row r="215" spans="2:10" ht="15" customHeight="1">
      <c r="B215" s="550"/>
      <c r="C215" s="550"/>
      <c r="D215" s="550"/>
      <c r="E215" s="550"/>
      <c r="F215" s="550"/>
      <c r="G215" s="550"/>
      <c r="H215" s="550"/>
      <c r="I215" s="550"/>
      <c r="J215" s="550"/>
    </row>
    <row r="216" spans="2:10" ht="15" customHeight="1">
      <c r="B216" s="550"/>
      <c r="C216" s="550"/>
      <c r="D216" s="550"/>
      <c r="E216" s="550"/>
      <c r="F216" s="550"/>
      <c r="G216" s="550"/>
      <c r="H216" s="550"/>
      <c r="I216" s="550"/>
      <c r="J216" s="550"/>
    </row>
    <row r="217" spans="2:10" ht="15" customHeight="1">
      <c r="B217" s="550"/>
      <c r="C217" s="550"/>
      <c r="D217" s="550"/>
      <c r="E217" s="550"/>
      <c r="F217" s="550"/>
      <c r="G217" s="550"/>
      <c r="H217" s="550"/>
      <c r="I217" s="550"/>
      <c r="J217" s="550"/>
    </row>
    <row r="218" spans="2:10" ht="15" customHeight="1">
      <c r="B218" s="550"/>
      <c r="C218" s="550"/>
      <c r="D218" s="550"/>
      <c r="E218" s="550"/>
      <c r="F218" s="550"/>
      <c r="G218" s="550"/>
      <c r="H218" s="550"/>
      <c r="I218" s="550"/>
      <c r="J218" s="550"/>
    </row>
    <row r="219" spans="2:10" ht="15" customHeight="1">
      <c r="B219" s="550"/>
      <c r="C219" s="550"/>
      <c r="D219" s="550"/>
      <c r="E219" s="550"/>
      <c r="F219" s="550"/>
      <c r="G219" s="550"/>
      <c r="H219" s="550"/>
      <c r="I219" s="550"/>
      <c r="J219" s="550"/>
    </row>
    <row r="220" spans="2:10" ht="15" customHeight="1">
      <c r="B220" s="550"/>
      <c r="C220" s="550"/>
      <c r="D220" s="550"/>
      <c r="E220" s="550"/>
      <c r="F220" s="550"/>
      <c r="G220" s="550"/>
      <c r="H220" s="550"/>
      <c r="I220" s="550"/>
      <c r="J220" s="550"/>
    </row>
    <row r="221" spans="2:10" ht="15" customHeight="1">
      <c r="B221" s="550"/>
      <c r="C221" s="550"/>
      <c r="D221" s="550"/>
      <c r="E221" s="550"/>
      <c r="F221" s="550"/>
      <c r="G221" s="550"/>
      <c r="H221" s="550"/>
      <c r="I221" s="550"/>
      <c r="J221" s="550"/>
    </row>
    <row r="222" spans="2:10" ht="15" customHeight="1">
      <c r="B222" s="550"/>
      <c r="C222" s="550"/>
      <c r="D222" s="550"/>
      <c r="E222" s="550"/>
      <c r="F222" s="550"/>
      <c r="G222" s="550"/>
      <c r="H222" s="550"/>
      <c r="I222" s="550"/>
      <c r="J222" s="550"/>
    </row>
    <row r="223" spans="2:10" ht="15" customHeight="1">
      <c r="B223" s="550"/>
      <c r="C223" s="550"/>
      <c r="D223" s="550"/>
      <c r="E223" s="550"/>
      <c r="F223" s="550"/>
      <c r="G223" s="550"/>
      <c r="H223" s="550"/>
      <c r="I223" s="550"/>
      <c r="J223" s="550"/>
    </row>
    <row r="224" spans="2:10" ht="15" customHeight="1">
      <c r="B224" s="550"/>
      <c r="C224" s="550"/>
      <c r="D224" s="550"/>
      <c r="E224" s="550"/>
      <c r="F224" s="550"/>
      <c r="G224" s="550"/>
      <c r="H224" s="550"/>
      <c r="I224" s="550"/>
      <c r="J224" s="550"/>
    </row>
    <row r="225" spans="2:10" ht="15" customHeight="1">
      <c r="B225" s="550"/>
      <c r="C225" s="550"/>
      <c r="D225" s="550"/>
      <c r="E225" s="550"/>
      <c r="F225" s="550"/>
      <c r="G225" s="550"/>
      <c r="H225" s="550"/>
      <c r="I225" s="550"/>
      <c r="J225" s="550"/>
    </row>
    <row r="226" spans="2:10" ht="15" customHeight="1">
      <c r="B226" s="550"/>
      <c r="C226" s="550"/>
      <c r="D226" s="550"/>
      <c r="E226" s="550"/>
      <c r="F226" s="550"/>
      <c r="G226" s="550"/>
      <c r="H226" s="550"/>
      <c r="I226" s="550"/>
      <c r="J226" s="550"/>
    </row>
    <row r="227" spans="2:10" ht="15" customHeight="1">
      <c r="B227" s="550"/>
      <c r="C227" s="550"/>
      <c r="D227" s="550"/>
      <c r="E227" s="550"/>
      <c r="F227" s="550"/>
      <c r="G227" s="550"/>
      <c r="H227" s="550"/>
      <c r="I227" s="550"/>
      <c r="J227" s="550"/>
    </row>
    <row r="228" spans="2:10" ht="15" customHeight="1">
      <c r="B228" s="550"/>
      <c r="C228" s="550"/>
      <c r="D228" s="550"/>
      <c r="E228" s="550"/>
      <c r="F228" s="550"/>
      <c r="G228" s="550"/>
      <c r="H228" s="550"/>
      <c r="I228" s="550"/>
      <c r="J228" s="550"/>
    </row>
    <row r="229" spans="2:10" ht="15" customHeight="1">
      <c r="B229" s="550"/>
      <c r="C229" s="550"/>
      <c r="D229" s="550"/>
      <c r="E229" s="550"/>
      <c r="F229" s="550"/>
      <c r="G229" s="550"/>
      <c r="H229" s="550"/>
      <c r="I229" s="550"/>
      <c r="J229" s="550"/>
    </row>
    <row r="230" spans="2:10" ht="15" customHeight="1">
      <c r="B230" s="550"/>
      <c r="C230" s="550"/>
      <c r="D230" s="550"/>
      <c r="E230" s="550"/>
      <c r="F230" s="550"/>
      <c r="G230" s="550"/>
      <c r="H230" s="550"/>
      <c r="I230" s="550"/>
      <c r="J230" s="550"/>
    </row>
    <row r="231" spans="2:10" ht="15" customHeight="1">
      <c r="B231" s="550"/>
      <c r="C231" s="550"/>
      <c r="D231" s="550"/>
      <c r="E231" s="550"/>
      <c r="F231" s="550"/>
      <c r="G231" s="550"/>
      <c r="H231" s="550"/>
      <c r="I231" s="550"/>
      <c r="J231" s="550"/>
    </row>
    <row r="232" spans="2:10" ht="15" customHeight="1">
      <c r="B232" s="550"/>
      <c r="C232" s="550"/>
      <c r="D232" s="550"/>
      <c r="E232" s="550"/>
      <c r="F232" s="550"/>
      <c r="G232" s="550"/>
      <c r="H232" s="550"/>
      <c r="I232" s="550"/>
      <c r="J232" s="550"/>
    </row>
    <row r="233" spans="2:10" ht="15" customHeight="1">
      <c r="B233" s="550"/>
      <c r="C233" s="550"/>
      <c r="D233" s="550"/>
      <c r="E233" s="550"/>
      <c r="F233" s="550"/>
      <c r="G233" s="550"/>
      <c r="H233" s="550"/>
      <c r="I233" s="550"/>
      <c r="J233" s="550"/>
    </row>
    <row r="234" spans="2:10" ht="15" customHeight="1">
      <c r="B234" s="550"/>
      <c r="C234" s="550"/>
      <c r="D234" s="550"/>
      <c r="E234" s="550"/>
      <c r="F234" s="550"/>
      <c r="G234" s="550"/>
      <c r="H234" s="550"/>
      <c r="I234" s="550"/>
      <c r="J234" s="550"/>
    </row>
    <row r="235" spans="2:10" ht="15" customHeight="1">
      <c r="B235" s="550"/>
      <c r="C235" s="550"/>
      <c r="D235" s="550"/>
      <c r="E235" s="550"/>
      <c r="F235" s="550"/>
      <c r="G235" s="550"/>
      <c r="H235" s="550"/>
      <c r="I235" s="550"/>
      <c r="J235" s="550"/>
    </row>
    <row r="236" spans="2:10" ht="15" customHeight="1">
      <c r="B236" s="550"/>
      <c r="C236" s="550"/>
      <c r="D236" s="550"/>
      <c r="E236" s="550"/>
      <c r="F236" s="550"/>
      <c r="G236" s="550"/>
      <c r="H236" s="550"/>
      <c r="I236" s="550"/>
      <c r="J236" s="550"/>
    </row>
    <row r="237" spans="2:10" ht="15" customHeight="1">
      <c r="B237" s="550"/>
      <c r="C237" s="550"/>
      <c r="D237" s="550"/>
      <c r="E237" s="550"/>
      <c r="F237" s="550"/>
      <c r="G237" s="550"/>
      <c r="H237" s="550"/>
      <c r="I237" s="550"/>
      <c r="J237" s="550"/>
    </row>
    <row r="238" spans="2:10" ht="15" customHeight="1">
      <c r="B238" s="550"/>
      <c r="C238" s="550"/>
      <c r="D238" s="550"/>
      <c r="E238" s="550"/>
      <c r="F238" s="550"/>
      <c r="G238" s="550"/>
      <c r="H238" s="550"/>
      <c r="I238" s="550"/>
      <c r="J238" s="550"/>
    </row>
    <row r="239" spans="2:10" ht="15" customHeight="1">
      <c r="B239" s="550"/>
      <c r="C239" s="550"/>
      <c r="D239" s="550"/>
      <c r="E239" s="550"/>
      <c r="F239" s="550"/>
      <c r="G239" s="550"/>
      <c r="H239" s="550"/>
      <c r="I239" s="550"/>
      <c r="J239" s="550"/>
    </row>
    <row r="240" spans="2:10" ht="15" customHeight="1">
      <c r="B240" s="550"/>
      <c r="C240" s="550"/>
      <c r="D240" s="550"/>
      <c r="E240" s="550"/>
      <c r="F240" s="550"/>
      <c r="G240" s="550"/>
      <c r="H240" s="550"/>
      <c r="I240" s="550"/>
      <c r="J240" s="550"/>
    </row>
    <row r="241" spans="2:10" ht="15" customHeight="1">
      <c r="B241" s="550"/>
      <c r="C241" s="550"/>
      <c r="D241" s="550"/>
      <c r="E241" s="550"/>
      <c r="F241" s="550"/>
      <c r="G241" s="550"/>
      <c r="H241" s="550"/>
      <c r="I241" s="550"/>
      <c r="J241" s="550"/>
    </row>
    <row r="242" spans="2:10" ht="15" customHeight="1">
      <c r="B242" s="550"/>
      <c r="C242" s="550"/>
      <c r="D242" s="550"/>
      <c r="E242" s="550"/>
      <c r="F242" s="550"/>
      <c r="G242" s="550"/>
      <c r="H242" s="550"/>
      <c r="I242" s="550"/>
      <c r="J242" s="550"/>
    </row>
    <row r="243" spans="2:10" ht="15" customHeight="1">
      <c r="B243" s="550"/>
      <c r="C243" s="550"/>
      <c r="D243" s="550"/>
      <c r="E243" s="550"/>
      <c r="F243" s="550"/>
      <c r="G243" s="550"/>
      <c r="H243" s="550"/>
      <c r="I243" s="550"/>
      <c r="J243" s="550"/>
    </row>
    <row r="244" spans="2:10" ht="15" customHeight="1">
      <c r="B244" s="550"/>
      <c r="C244" s="550"/>
      <c r="D244" s="550"/>
      <c r="E244" s="550"/>
      <c r="F244" s="550"/>
      <c r="G244" s="550"/>
      <c r="H244" s="550"/>
      <c r="I244" s="550"/>
      <c r="J244" s="550"/>
    </row>
    <row r="245" spans="2:10" ht="15" customHeight="1">
      <c r="B245" s="550"/>
      <c r="C245" s="550"/>
      <c r="D245" s="550"/>
      <c r="E245" s="550"/>
      <c r="F245" s="550"/>
      <c r="G245" s="550"/>
      <c r="H245" s="550"/>
      <c r="I245" s="550"/>
      <c r="J245" s="550"/>
    </row>
    <row r="246" spans="2:10" ht="15" customHeight="1">
      <c r="B246" s="550"/>
      <c r="C246" s="550"/>
      <c r="D246" s="550"/>
      <c r="E246" s="550"/>
      <c r="F246" s="550"/>
      <c r="G246" s="550"/>
      <c r="H246" s="550"/>
      <c r="I246" s="550"/>
      <c r="J246" s="550"/>
    </row>
    <row r="247" spans="2:10" ht="15" customHeight="1">
      <c r="B247" s="550"/>
      <c r="C247" s="550"/>
      <c r="D247" s="550"/>
      <c r="E247" s="550"/>
      <c r="F247" s="550"/>
      <c r="G247" s="550"/>
      <c r="H247" s="550"/>
      <c r="I247" s="550"/>
      <c r="J247" s="550"/>
    </row>
    <row r="248" spans="2:10" ht="15" customHeight="1">
      <c r="B248" s="550"/>
      <c r="C248" s="550"/>
      <c r="D248" s="550"/>
      <c r="E248" s="550"/>
      <c r="F248" s="550"/>
      <c r="G248" s="550"/>
      <c r="H248" s="550"/>
      <c r="I248" s="550"/>
      <c r="J248" s="550"/>
    </row>
    <row r="249" spans="2:10" ht="15" customHeight="1">
      <c r="B249" s="550"/>
      <c r="C249" s="550"/>
      <c r="D249" s="550"/>
      <c r="E249" s="550"/>
      <c r="F249" s="550"/>
      <c r="G249" s="550"/>
      <c r="H249" s="550"/>
      <c r="I249" s="550"/>
      <c r="J249" s="550"/>
    </row>
    <row r="250" spans="2:10" ht="15" customHeight="1">
      <c r="B250" s="550"/>
      <c r="C250" s="550"/>
      <c r="D250" s="550"/>
      <c r="E250" s="550"/>
      <c r="F250" s="550"/>
      <c r="G250" s="550"/>
      <c r="H250" s="550"/>
      <c r="I250" s="550"/>
      <c r="J250" s="550"/>
    </row>
    <row r="251" spans="2:10" ht="15" customHeight="1">
      <c r="B251" s="550"/>
      <c r="C251" s="550"/>
      <c r="D251" s="550"/>
      <c r="E251" s="550"/>
      <c r="F251" s="550"/>
      <c r="G251" s="550"/>
      <c r="H251" s="550"/>
      <c r="I251" s="550"/>
      <c r="J251" s="550"/>
    </row>
    <row r="252" spans="2:10" ht="15" customHeight="1">
      <c r="B252" s="550"/>
      <c r="C252" s="550"/>
      <c r="D252" s="550"/>
      <c r="E252" s="550"/>
      <c r="F252" s="550"/>
      <c r="G252" s="550"/>
      <c r="H252" s="550"/>
      <c r="I252" s="550"/>
      <c r="J252" s="550"/>
    </row>
    <row r="253" spans="2:10" ht="15" customHeight="1">
      <c r="B253" s="550"/>
      <c r="C253" s="550"/>
      <c r="D253" s="550"/>
      <c r="E253" s="550"/>
      <c r="F253" s="550"/>
      <c r="G253" s="550"/>
      <c r="H253" s="550"/>
      <c r="I253" s="550"/>
      <c r="J253" s="550"/>
    </row>
    <row r="254" spans="2:10" ht="15" customHeight="1">
      <c r="B254" s="550"/>
      <c r="C254" s="550"/>
      <c r="D254" s="550"/>
      <c r="E254" s="550"/>
      <c r="F254" s="550"/>
      <c r="G254" s="550"/>
      <c r="H254" s="550"/>
      <c r="I254" s="550"/>
      <c r="J254" s="550"/>
    </row>
    <row r="255" spans="2:10" ht="15" customHeight="1">
      <c r="B255" s="550"/>
      <c r="C255" s="550"/>
      <c r="D255" s="550"/>
      <c r="E255" s="550"/>
      <c r="F255" s="550"/>
      <c r="G255" s="550"/>
      <c r="H255" s="550"/>
      <c r="I255" s="550"/>
      <c r="J255" s="550"/>
    </row>
    <row r="256" spans="2:10" ht="15" customHeight="1">
      <c r="B256" s="550"/>
      <c r="C256" s="550"/>
      <c r="D256" s="550"/>
      <c r="E256" s="550"/>
      <c r="F256" s="550"/>
      <c r="G256" s="550"/>
      <c r="H256" s="550"/>
      <c r="I256" s="550"/>
      <c r="J256" s="550"/>
    </row>
    <row r="257" spans="2:10" ht="15" customHeight="1">
      <c r="B257" s="550"/>
      <c r="C257" s="550"/>
      <c r="D257" s="550"/>
      <c r="E257" s="550"/>
      <c r="F257" s="550"/>
      <c r="G257" s="550"/>
      <c r="H257" s="550"/>
      <c r="I257" s="550"/>
      <c r="J257" s="550"/>
    </row>
    <row r="258" spans="2:10" ht="15" customHeight="1">
      <c r="B258" s="550"/>
      <c r="C258" s="550"/>
      <c r="D258" s="550"/>
      <c r="E258" s="550"/>
      <c r="F258" s="550"/>
      <c r="G258" s="550"/>
      <c r="H258" s="550"/>
      <c r="I258" s="550"/>
      <c r="J258" s="550"/>
    </row>
    <row r="259" spans="2:10" ht="15" customHeight="1">
      <c r="B259" s="550"/>
      <c r="C259" s="550"/>
      <c r="D259" s="550"/>
      <c r="E259" s="550"/>
      <c r="F259" s="550"/>
      <c r="G259" s="550"/>
      <c r="H259" s="550"/>
      <c r="I259" s="550"/>
      <c r="J259" s="550"/>
    </row>
    <row r="260" spans="2:10" ht="15" customHeight="1">
      <c r="B260" s="550"/>
      <c r="C260" s="550"/>
      <c r="D260" s="550"/>
      <c r="E260" s="550"/>
      <c r="F260" s="550"/>
      <c r="G260" s="550"/>
      <c r="H260" s="550"/>
      <c r="I260" s="550"/>
      <c r="J260" s="550"/>
    </row>
    <row r="261" spans="2:10" ht="15" customHeight="1">
      <c r="B261" s="550"/>
      <c r="C261" s="550"/>
      <c r="D261" s="550"/>
      <c r="E261" s="550"/>
      <c r="F261" s="550"/>
      <c r="G261" s="550"/>
      <c r="H261" s="550"/>
      <c r="I261" s="550"/>
      <c r="J261" s="550"/>
    </row>
    <row r="262" spans="2:10" ht="15" customHeight="1">
      <c r="B262" s="550"/>
      <c r="C262" s="550"/>
      <c r="D262" s="550"/>
      <c r="E262" s="550"/>
      <c r="F262" s="550"/>
      <c r="G262" s="550"/>
      <c r="H262" s="550"/>
      <c r="I262" s="550"/>
      <c r="J262" s="550"/>
    </row>
    <row r="263" spans="2:10" ht="15" customHeight="1">
      <c r="B263" s="550"/>
      <c r="C263" s="550"/>
      <c r="D263" s="550"/>
      <c r="E263" s="550"/>
      <c r="F263" s="550"/>
      <c r="G263" s="550"/>
      <c r="H263" s="550"/>
      <c r="I263" s="550"/>
      <c r="J263" s="550"/>
    </row>
    <row r="264" spans="2:10" ht="15" customHeight="1">
      <c r="B264" s="550"/>
      <c r="C264" s="550"/>
      <c r="D264" s="550"/>
      <c r="E264" s="550"/>
      <c r="F264" s="550"/>
      <c r="G264" s="550"/>
      <c r="H264" s="550"/>
      <c r="I264" s="550"/>
      <c r="J264" s="550"/>
    </row>
    <row r="265" spans="2:10" ht="15" customHeight="1">
      <c r="B265" s="550"/>
      <c r="C265" s="550"/>
      <c r="D265" s="550"/>
      <c r="E265" s="550"/>
      <c r="F265" s="550"/>
      <c r="G265" s="550"/>
      <c r="H265" s="550"/>
      <c r="I265" s="550"/>
      <c r="J265" s="550"/>
    </row>
    <row r="266" spans="2:10" ht="15" customHeight="1">
      <c r="B266" s="550"/>
      <c r="C266" s="550"/>
      <c r="D266" s="550"/>
      <c r="E266" s="550"/>
      <c r="F266" s="550"/>
      <c r="G266" s="550"/>
      <c r="H266" s="550"/>
      <c r="I266" s="550"/>
      <c r="J266" s="550"/>
    </row>
    <row r="267" spans="2:10" ht="15" customHeight="1">
      <c r="B267" s="550"/>
      <c r="C267" s="550"/>
      <c r="D267" s="550"/>
      <c r="E267" s="550"/>
      <c r="F267" s="550"/>
      <c r="G267" s="550"/>
      <c r="H267" s="550"/>
      <c r="I267" s="550"/>
      <c r="J267" s="550"/>
    </row>
    <row r="268" spans="2:10" ht="15" customHeight="1">
      <c r="B268" s="550"/>
      <c r="C268" s="550"/>
      <c r="D268" s="550"/>
      <c r="E268" s="550"/>
      <c r="F268" s="550"/>
      <c r="G268" s="550"/>
      <c r="H268" s="550"/>
      <c r="I268" s="550"/>
      <c r="J268" s="550"/>
    </row>
    <row r="269" spans="2:10" ht="15" customHeight="1">
      <c r="B269" s="550"/>
      <c r="C269" s="550"/>
      <c r="D269" s="550"/>
      <c r="E269" s="550"/>
      <c r="F269" s="550"/>
      <c r="G269" s="550"/>
      <c r="H269" s="550"/>
      <c r="I269" s="550"/>
      <c r="J269" s="550"/>
    </row>
    <row r="270" spans="2:10" ht="15" customHeight="1">
      <c r="B270" s="550"/>
      <c r="C270" s="550"/>
      <c r="D270" s="550"/>
      <c r="E270" s="550"/>
      <c r="F270" s="550"/>
      <c r="G270" s="550"/>
      <c r="H270" s="550"/>
      <c r="I270" s="550"/>
      <c r="J270" s="550"/>
    </row>
    <row r="271" spans="2:10" ht="15" customHeight="1">
      <c r="B271" s="550"/>
      <c r="C271" s="550"/>
      <c r="D271" s="550"/>
      <c r="E271" s="550"/>
      <c r="F271" s="550"/>
      <c r="G271" s="550"/>
      <c r="H271" s="550"/>
      <c r="I271" s="550"/>
      <c r="J271" s="550"/>
    </row>
    <row r="272" spans="2:10" ht="15" customHeight="1">
      <c r="B272" s="550"/>
      <c r="C272" s="550"/>
      <c r="D272" s="550"/>
      <c r="E272" s="550"/>
      <c r="F272" s="550"/>
      <c r="G272" s="550"/>
      <c r="H272" s="550"/>
      <c r="I272" s="550"/>
      <c r="J272" s="550"/>
    </row>
    <row r="273" spans="2:10" ht="15" customHeight="1">
      <c r="B273" s="550"/>
      <c r="C273" s="550"/>
      <c r="D273" s="550"/>
      <c r="E273" s="550"/>
      <c r="F273" s="550"/>
      <c r="G273" s="550"/>
      <c r="H273" s="550"/>
      <c r="I273" s="550"/>
      <c r="J273" s="550"/>
    </row>
    <row r="274" spans="2:10" ht="15" customHeight="1">
      <c r="B274" s="550"/>
      <c r="C274" s="550"/>
      <c r="D274" s="550"/>
      <c r="E274" s="550"/>
      <c r="F274" s="550"/>
      <c r="G274" s="550"/>
      <c r="H274" s="550"/>
      <c r="I274" s="550"/>
      <c r="J274" s="550"/>
    </row>
    <row r="275" spans="2:10" ht="15" customHeight="1">
      <c r="B275" s="550"/>
      <c r="C275" s="550"/>
      <c r="D275" s="550"/>
      <c r="E275" s="550"/>
      <c r="F275" s="550"/>
      <c r="G275" s="550"/>
      <c r="H275" s="550"/>
      <c r="I275" s="550"/>
      <c r="J275" s="550"/>
    </row>
    <row r="276" spans="2:10" ht="15" customHeight="1">
      <c r="B276" s="550"/>
      <c r="C276" s="550"/>
      <c r="D276" s="550"/>
      <c r="E276" s="550"/>
      <c r="F276" s="550"/>
      <c r="G276" s="550"/>
      <c r="H276" s="550"/>
      <c r="I276" s="550"/>
      <c r="J276" s="550"/>
    </row>
    <row r="277" spans="2:10" ht="15" customHeight="1">
      <c r="B277" s="550"/>
      <c r="C277" s="550"/>
      <c r="D277" s="550"/>
      <c r="E277" s="550"/>
      <c r="F277" s="550"/>
      <c r="G277" s="550"/>
      <c r="H277" s="550"/>
      <c r="I277" s="550"/>
      <c r="J277" s="550"/>
    </row>
    <row r="278" spans="2:10" ht="15" customHeight="1">
      <c r="B278" s="550"/>
      <c r="C278" s="550"/>
      <c r="D278" s="550"/>
      <c r="E278" s="550"/>
      <c r="F278" s="550"/>
      <c r="G278" s="550"/>
      <c r="H278" s="550"/>
      <c r="I278" s="550"/>
      <c r="J278" s="550"/>
    </row>
    <row r="279" spans="2:10" ht="15" customHeight="1">
      <c r="B279" s="550"/>
      <c r="C279" s="550"/>
      <c r="D279" s="550"/>
      <c r="E279" s="550"/>
      <c r="F279" s="550"/>
      <c r="G279" s="550"/>
      <c r="H279" s="550"/>
      <c r="I279" s="550"/>
      <c r="J279" s="550"/>
    </row>
    <row r="280" spans="2:10" ht="15" customHeight="1">
      <c r="B280" s="550"/>
      <c r="C280" s="550"/>
      <c r="D280" s="550"/>
      <c r="E280" s="550"/>
      <c r="F280" s="550"/>
      <c r="G280" s="550"/>
      <c r="H280" s="550"/>
      <c r="I280" s="550"/>
      <c r="J280" s="550"/>
    </row>
    <row r="281" spans="2:10" ht="15" customHeight="1">
      <c r="B281" s="550"/>
      <c r="C281" s="550"/>
      <c r="D281" s="550"/>
      <c r="E281" s="550"/>
      <c r="F281" s="550"/>
      <c r="G281" s="550"/>
      <c r="H281" s="550"/>
      <c r="I281" s="550"/>
      <c r="J281" s="550"/>
    </row>
    <row r="282" spans="2:10" ht="15" customHeight="1">
      <c r="B282" s="550"/>
      <c r="C282" s="550"/>
      <c r="D282" s="550"/>
      <c r="E282" s="550"/>
      <c r="F282" s="550"/>
      <c r="G282" s="550"/>
      <c r="H282" s="550"/>
      <c r="I282" s="550"/>
      <c r="J282" s="550"/>
    </row>
    <row r="283" spans="2:10" ht="15" customHeight="1">
      <c r="B283" s="550"/>
      <c r="C283" s="550"/>
      <c r="D283" s="550"/>
      <c r="E283" s="550"/>
      <c r="F283" s="550"/>
      <c r="G283" s="550"/>
      <c r="H283" s="550"/>
      <c r="I283" s="550"/>
      <c r="J283" s="550"/>
    </row>
    <row r="284" spans="2:10" ht="15" customHeight="1">
      <c r="B284" s="550"/>
      <c r="C284" s="550"/>
      <c r="D284" s="550"/>
      <c r="E284" s="550"/>
      <c r="F284" s="550"/>
      <c r="G284" s="550"/>
      <c r="H284" s="550"/>
      <c r="I284" s="550"/>
      <c r="J284" s="550"/>
    </row>
    <row r="285" spans="2:10" ht="15" customHeight="1">
      <c r="B285" s="550"/>
      <c r="C285" s="550"/>
      <c r="D285" s="550"/>
      <c r="E285" s="550"/>
      <c r="F285" s="550"/>
      <c r="G285" s="550"/>
      <c r="H285" s="550"/>
      <c r="I285" s="550"/>
      <c r="J285" s="550"/>
    </row>
    <row r="286" spans="2:10" ht="15" customHeight="1">
      <c r="B286" s="550"/>
      <c r="C286" s="550"/>
      <c r="D286" s="550"/>
      <c r="E286" s="550"/>
      <c r="F286" s="550"/>
      <c r="G286" s="550"/>
      <c r="H286" s="550"/>
      <c r="I286" s="550"/>
      <c r="J286" s="550"/>
    </row>
    <row r="287" spans="2:10" ht="15" customHeight="1">
      <c r="B287" s="550"/>
      <c r="C287" s="550"/>
      <c r="D287" s="550"/>
      <c r="E287" s="550"/>
      <c r="F287" s="550"/>
      <c r="G287" s="550"/>
      <c r="H287" s="550"/>
      <c r="I287" s="550"/>
      <c r="J287" s="550"/>
    </row>
    <row r="288" spans="2:10" ht="15" customHeight="1">
      <c r="B288" s="550"/>
      <c r="C288" s="550"/>
      <c r="D288" s="550"/>
      <c r="E288" s="550"/>
      <c r="F288" s="550"/>
      <c r="G288" s="550"/>
      <c r="H288" s="550"/>
      <c r="I288" s="550"/>
      <c r="J288" s="550"/>
    </row>
    <row r="289" spans="2:10" ht="15" customHeight="1">
      <c r="B289" s="550"/>
      <c r="C289" s="550"/>
      <c r="D289" s="550"/>
      <c r="E289" s="550"/>
      <c r="F289" s="550"/>
      <c r="G289" s="550"/>
      <c r="H289" s="550"/>
      <c r="I289" s="550"/>
      <c r="J289" s="550"/>
    </row>
    <row r="290" spans="2:10" ht="15" customHeight="1">
      <c r="B290" s="550"/>
      <c r="C290" s="550"/>
      <c r="D290" s="550"/>
      <c r="E290" s="550"/>
      <c r="F290" s="550"/>
      <c r="G290" s="550"/>
      <c r="H290" s="550"/>
      <c r="I290" s="550"/>
      <c r="J290" s="550"/>
    </row>
    <row r="291" spans="2:10" ht="15" customHeight="1">
      <c r="B291" s="550"/>
      <c r="C291" s="550"/>
      <c r="D291" s="550"/>
      <c r="E291" s="550"/>
      <c r="F291" s="550"/>
      <c r="G291" s="550"/>
      <c r="H291" s="550"/>
      <c r="I291" s="550"/>
      <c r="J291" s="550"/>
    </row>
    <row r="292" spans="2:10" ht="15" customHeight="1">
      <c r="B292" s="550"/>
      <c r="C292" s="550"/>
      <c r="D292" s="550"/>
      <c r="E292" s="550"/>
      <c r="F292" s="550"/>
      <c r="G292" s="550"/>
      <c r="H292" s="550"/>
      <c r="I292" s="550"/>
      <c r="J292" s="550"/>
    </row>
    <row r="293" spans="2:10" ht="15" customHeight="1">
      <c r="B293" s="550"/>
      <c r="C293" s="550"/>
      <c r="D293" s="550"/>
      <c r="E293" s="550"/>
      <c r="F293" s="550"/>
      <c r="G293" s="550"/>
      <c r="H293" s="550"/>
      <c r="I293" s="550"/>
      <c r="J293" s="550"/>
    </row>
    <row r="294" spans="2:10" ht="15" customHeight="1">
      <c r="B294" s="550"/>
      <c r="C294" s="550"/>
      <c r="D294" s="550"/>
      <c r="E294" s="550"/>
      <c r="F294" s="550"/>
      <c r="G294" s="550"/>
      <c r="H294" s="550"/>
      <c r="I294" s="550"/>
      <c r="J294" s="550"/>
    </row>
    <row r="295" spans="2:10" ht="15" customHeight="1">
      <c r="B295" s="550"/>
      <c r="C295" s="550"/>
      <c r="D295" s="550"/>
      <c r="E295" s="550"/>
      <c r="F295" s="550"/>
      <c r="G295" s="550"/>
      <c r="H295" s="550"/>
      <c r="I295" s="550"/>
      <c r="J295" s="550"/>
    </row>
    <row r="296" spans="2:10" ht="15" customHeight="1">
      <c r="B296" s="550"/>
      <c r="C296" s="550"/>
      <c r="D296" s="550"/>
      <c r="E296" s="550"/>
      <c r="F296" s="550"/>
      <c r="G296" s="550"/>
      <c r="H296" s="550"/>
      <c r="I296" s="550"/>
      <c r="J296" s="550"/>
    </row>
    <row r="297" spans="2:10" ht="15" customHeight="1">
      <c r="B297" s="550"/>
      <c r="C297" s="550"/>
      <c r="D297" s="550"/>
      <c r="E297" s="550"/>
      <c r="F297" s="550"/>
      <c r="G297" s="550"/>
      <c r="H297" s="550"/>
      <c r="I297" s="550"/>
      <c r="J297" s="550"/>
    </row>
    <row r="298" spans="2:10" ht="15" customHeight="1">
      <c r="B298" s="550"/>
      <c r="C298" s="550"/>
      <c r="D298" s="550"/>
      <c r="E298" s="550"/>
      <c r="F298" s="550"/>
      <c r="G298" s="550"/>
      <c r="H298" s="550"/>
      <c r="I298" s="550"/>
      <c r="J298" s="550"/>
    </row>
    <row r="299" spans="2:10" ht="15" customHeight="1">
      <c r="B299" s="550"/>
      <c r="C299" s="550"/>
      <c r="D299" s="550"/>
      <c r="E299" s="550"/>
      <c r="F299" s="550"/>
      <c r="G299" s="550"/>
      <c r="H299" s="550"/>
      <c r="I299" s="550"/>
      <c r="J299" s="550"/>
    </row>
    <row r="300" spans="2:10" ht="15" customHeight="1">
      <c r="B300" s="550"/>
      <c r="C300" s="550"/>
      <c r="D300" s="550"/>
      <c r="E300" s="550"/>
      <c r="F300" s="550"/>
      <c r="G300" s="550"/>
      <c r="H300" s="550"/>
      <c r="I300" s="550"/>
      <c r="J300" s="550"/>
    </row>
    <row r="301" spans="2:10" ht="15" customHeight="1">
      <c r="B301" s="550"/>
      <c r="C301" s="550"/>
      <c r="D301" s="550"/>
      <c r="E301" s="550"/>
      <c r="F301" s="550"/>
      <c r="G301" s="550"/>
      <c r="H301" s="550"/>
      <c r="I301" s="550"/>
      <c r="J301" s="550"/>
    </row>
    <row r="302" spans="2:10" ht="15" customHeight="1">
      <c r="B302" s="550"/>
      <c r="C302" s="550"/>
      <c r="D302" s="550"/>
      <c r="E302" s="550"/>
      <c r="F302" s="550"/>
      <c r="G302" s="550"/>
      <c r="H302" s="550"/>
      <c r="I302" s="550"/>
      <c r="J302" s="550"/>
    </row>
    <row r="303" spans="2:10" ht="15" customHeight="1">
      <c r="B303" s="550"/>
      <c r="C303" s="550"/>
      <c r="D303" s="550"/>
      <c r="E303" s="550"/>
      <c r="F303" s="550"/>
      <c r="G303" s="550"/>
      <c r="H303" s="550"/>
      <c r="I303" s="550"/>
      <c r="J303" s="550"/>
    </row>
    <row r="304" spans="2:10" ht="15" customHeight="1">
      <c r="B304" s="550"/>
      <c r="C304" s="550"/>
      <c r="D304" s="550"/>
      <c r="E304" s="550"/>
      <c r="F304" s="550"/>
      <c r="G304" s="550"/>
      <c r="H304" s="550"/>
      <c r="I304" s="550"/>
      <c r="J304" s="550"/>
    </row>
    <row r="305" spans="2:10" ht="15" customHeight="1">
      <c r="B305" s="550"/>
      <c r="C305" s="550"/>
      <c r="D305" s="550"/>
      <c r="E305" s="550"/>
      <c r="F305" s="550"/>
      <c r="G305" s="550"/>
      <c r="H305" s="550"/>
      <c r="I305" s="550"/>
      <c r="J305" s="550"/>
    </row>
    <row r="306" spans="2:10" ht="15" customHeight="1">
      <c r="B306" s="550"/>
      <c r="C306" s="550"/>
      <c r="D306" s="550"/>
      <c r="E306" s="550"/>
      <c r="F306" s="550"/>
      <c r="G306" s="550"/>
      <c r="H306" s="550"/>
      <c r="I306" s="550"/>
      <c r="J306" s="550"/>
    </row>
    <row r="307" spans="2:10" ht="15" customHeight="1">
      <c r="B307" s="550"/>
      <c r="C307" s="550"/>
      <c r="D307" s="550"/>
      <c r="E307" s="550"/>
      <c r="F307" s="550"/>
      <c r="G307" s="550"/>
      <c r="H307" s="550"/>
      <c r="I307" s="550"/>
      <c r="J307" s="550"/>
    </row>
    <row r="308" spans="2:10" ht="15" customHeight="1">
      <c r="B308" s="550"/>
      <c r="C308" s="550"/>
      <c r="D308" s="550"/>
      <c r="E308" s="550"/>
      <c r="F308" s="550"/>
      <c r="G308" s="550"/>
      <c r="H308" s="550"/>
      <c r="I308" s="550"/>
      <c r="J308" s="550"/>
    </row>
    <row r="309" spans="2:10" ht="15" customHeight="1">
      <c r="B309" s="550"/>
      <c r="C309" s="550"/>
      <c r="D309" s="550"/>
      <c r="E309" s="550"/>
      <c r="F309" s="550"/>
      <c r="G309" s="550"/>
      <c r="H309" s="550"/>
      <c r="I309" s="550"/>
      <c r="J309" s="550"/>
    </row>
    <row r="310" spans="2:10" ht="15" customHeight="1">
      <c r="B310" s="550"/>
      <c r="C310" s="550"/>
      <c r="D310" s="550"/>
      <c r="E310" s="550"/>
      <c r="F310" s="550"/>
      <c r="G310" s="550"/>
      <c r="H310" s="550"/>
      <c r="I310" s="550"/>
      <c r="J310" s="550"/>
    </row>
    <row r="311" spans="2:10" ht="15" customHeight="1">
      <c r="B311" s="550"/>
      <c r="C311" s="550"/>
      <c r="D311" s="550"/>
      <c r="E311" s="550"/>
      <c r="F311" s="550"/>
      <c r="G311" s="550"/>
      <c r="H311" s="550"/>
      <c r="I311" s="550"/>
      <c r="J311" s="550"/>
    </row>
    <row r="312" spans="2:10" ht="15" customHeight="1">
      <c r="B312" s="550"/>
      <c r="C312" s="550"/>
      <c r="D312" s="550"/>
      <c r="E312" s="550"/>
      <c r="F312" s="550"/>
      <c r="G312" s="550"/>
      <c r="H312" s="550"/>
      <c r="I312" s="550"/>
      <c r="J312" s="550"/>
    </row>
    <row r="313" spans="2:10" ht="15" customHeight="1">
      <c r="B313" s="550"/>
      <c r="C313" s="550"/>
      <c r="D313" s="550"/>
      <c r="E313" s="550"/>
      <c r="F313" s="550"/>
      <c r="G313" s="550"/>
      <c r="H313" s="550"/>
      <c r="I313" s="550"/>
      <c r="J313" s="550"/>
    </row>
    <row r="314" spans="2:10" ht="15" customHeight="1">
      <c r="B314" s="550"/>
      <c r="C314" s="550"/>
      <c r="D314" s="550"/>
      <c r="E314" s="550"/>
      <c r="F314" s="550"/>
      <c r="G314" s="550"/>
      <c r="H314" s="550"/>
      <c r="I314" s="550"/>
      <c r="J314" s="550"/>
    </row>
    <row r="315" spans="2:10" ht="15" customHeight="1">
      <c r="B315" s="550"/>
      <c r="C315" s="550"/>
      <c r="D315" s="550"/>
      <c r="E315" s="550"/>
      <c r="F315" s="550"/>
      <c r="G315" s="550"/>
      <c r="H315" s="550"/>
      <c r="I315" s="550"/>
      <c r="J315" s="550"/>
    </row>
    <row r="316" spans="2:10" ht="15" customHeight="1">
      <c r="B316" s="550"/>
      <c r="C316" s="550"/>
      <c r="D316" s="550"/>
      <c r="E316" s="550"/>
      <c r="F316" s="550"/>
      <c r="G316" s="550"/>
      <c r="H316" s="550"/>
      <c r="I316" s="550"/>
      <c r="J316" s="550"/>
    </row>
    <row r="317" spans="2:10" ht="15" customHeight="1">
      <c r="B317" s="550"/>
      <c r="C317" s="550"/>
      <c r="D317" s="550"/>
      <c r="E317" s="550"/>
      <c r="F317" s="550"/>
      <c r="G317" s="550"/>
      <c r="H317" s="550"/>
      <c r="I317" s="550"/>
      <c r="J317" s="550"/>
    </row>
    <row r="318" spans="2:10" ht="15" customHeight="1">
      <c r="B318" s="550"/>
      <c r="C318" s="550"/>
      <c r="D318" s="550"/>
      <c r="E318" s="550"/>
      <c r="F318" s="550"/>
      <c r="G318" s="550"/>
      <c r="H318" s="550"/>
      <c r="I318" s="550"/>
      <c r="J318" s="550"/>
    </row>
    <row r="319" spans="2:10" ht="15" customHeight="1">
      <c r="B319" s="550"/>
      <c r="C319" s="550"/>
      <c r="D319" s="550"/>
      <c r="E319" s="550"/>
      <c r="F319" s="550"/>
      <c r="G319" s="550"/>
      <c r="H319" s="550"/>
      <c r="I319" s="550"/>
      <c r="J319" s="550"/>
    </row>
    <row r="320" spans="2:10" ht="15" customHeight="1">
      <c r="B320" s="550"/>
      <c r="C320" s="550"/>
      <c r="D320" s="550"/>
      <c r="E320" s="550"/>
      <c r="F320" s="550"/>
      <c r="G320" s="550"/>
      <c r="H320" s="550"/>
      <c r="I320" s="550"/>
      <c r="J320" s="550"/>
    </row>
    <row r="321" spans="2:10" ht="15" customHeight="1">
      <c r="B321" s="550"/>
      <c r="C321" s="550"/>
      <c r="D321" s="550"/>
      <c r="E321" s="550"/>
      <c r="F321" s="550"/>
      <c r="G321" s="550"/>
      <c r="H321" s="550"/>
      <c r="I321" s="550"/>
      <c r="J321" s="550"/>
    </row>
    <row r="322" spans="2:10" ht="15" customHeight="1">
      <c r="B322" s="550"/>
      <c r="C322" s="550"/>
      <c r="D322" s="550"/>
      <c r="E322" s="550"/>
      <c r="F322" s="550"/>
      <c r="G322" s="550"/>
      <c r="H322" s="550"/>
      <c r="I322" s="550"/>
      <c r="J322" s="550"/>
    </row>
    <row r="323" spans="2:10" ht="15" customHeight="1">
      <c r="B323" s="550"/>
      <c r="C323" s="550"/>
      <c r="D323" s="550"/>
      <c r="E323" s="550"/>
      <c r="F323" s="550"/>
      <c r="G323" s="550"/>
      <c r="H323" s="550"/>
      <c r="I323" s="550"/>
      <c r="J323" s="550"/>
    </row>
    <row r="324" spans="2:10" ht="15" customHeight="1">
      <c r="B324" s="550"/>
      <c r="C324" s="550"/>
      <c r="D324" s="550"/>
      <c r="E324" s="550"/>
      <c r="F324" s="550"/>
      <c r="G324" s="550"/>
      <c r="H324" s="550"/>
      <c r="I324" s="550"/>
      <c r="J324" s="550"/>
    </row>
    <row r="325" spans="2:10" ht="15" customHeight="1">
      <c r="B325" s="550"/>
      <c r="C325" s="550"/>
      <c r="D325" s="550"/>
      <c r="E325" s="550"/>
      <c r="F325" s="550"/>
      <c r="G325" s="550"/>
      <c r="H325" s="550"/>
      <c r="I325" s="550"/>
      <c r="J325" s="550"/>
    </row>
    <row r="326" spans="2:10" ht="15" customHeight="1">
      <c r="B326" s="550"/>
      <c r="C326" s="550"/>
      <c r="D326" s="550"/>
      <c r="E326" s="550"/>
      <c r="F326" s="550"/>
      <c r="G326" s="550"/>
      <c r="H326" s="550"/>
      <c r="I326" s="550"/>
      <c r="J326" s="550"/>
    </row>
    <row r="327" spans="2:10" ht="15" customHeight="1">
      <c r="B327" s="550"/>
      <c r="C327" s="550"/>
      <c r="D327" s="550"/>
      <c r="E327" s="550"/>
      <c r="F327" s="550"/>
      <c r="G327" s="550"/>
      <c r="H327" s="550"/>
      <c r="I327" s="550"/>
      <c r="J327" s="550"/>
    </row>
    <row r="328" spans="2:10" ht="15" customHeight="1">
      <c r="B328" s="550"/>
      <c r="C328" s="550"/>
      <c r="D328" s="550"/>
      <c r="E328" s="550"/>
      <c r="F328" s="550"/>
      <c r="G328" s="550"/>
      <c r="H328" s="550"/>
      <c r="I328" s="550"/>
      <c r="J328" s="550"/>
    </row>
    <row r="329" spans="2:10" ht="15" customHeight="1">
      <c r="B329" s="550"/>
      <c r="C329" s="550"/>
      <c r="D329" s="550"/>
      <c r="E329" s="550"/>
      <c r="F329" s="550"/>
      <c r="G329" s="550"/>
      <c r="H329" s="550"/>
      <c r="I329" s="550"/>
      <c r="J329" s="550"/>
    </row>
    <row r="330" spans="2:10" ht="15" customHeight="1">
      <c r="B330" s="550"/>
      <c r="C330" s="550"/>
      <c r="D330" s="550"/>
      <c r="E330" s="550"/>
      <c r="F330" s="550"/>
      <c r="G330" s="550"/>
      <c r="H330" s="550"/>
      <c r="I330" s="550"/>
      <c r="J330" s="550"/>
    </row>
    <row r="331" spans="2:10" ht="15" customHeight="1">
      <c r="B331" s="550"/>
      <c r="C331" s="550"/>
      <c r="D331" s="550"/>
      <c r="E331" s="550"/>
      <c r="F331" s="550"/>
      <c r="G331" s="550"/>
      <c r="H331" s="550"/>
      <c r="I331" s="550"/>
      <c r="J331" s="550"/>
    </row>
    <row r="332" spans="2:10" ht="15" customHeight="1">
      <c r="B332" s="550"/>
      <c r="C332" s="550"/>
      <c r="D332" s="550"/>
      <c r="E332" s="550"/>
      <c r="F332" s="550"/>
      <c r="G332" s="550"/>
      <c r="H332" s="550"/>
      <c r="I332" s="550"/>
      <c r="J332" s="550"/>
    </row>
    <row r="333" spans="2:10" ht="15" customHeight="1">
      <c r="B333" s="550"/>
      <c r="C333" s="550"/>
      <c r="D333" s="550"/>
      <c r="E333" s="550"/>
      <c r="F333" s="550"/>
      <c r="G333" s="550"/>
      <c r="H333" s="550"/>
      <c r="I333" s="550"/>
      <c r="J333" s="550"/>
    </row>
    <row r="334" spans="2:10" ht="15" customHeight="1">
      <c r="B334" s="550"/>
      <c r="C334" s="550"/>
      <c r="D334" s="550"/>
      <c r="E334" s="550"/>
      <c r="F334" s="550"/>
      <c r="G334" s="550"/>
      <c r="H334" s="550"/>
      <c r="I334" s="550"/>
      <c r="J334" s="550"/>
    </row>
    <row r="335" spans="2:10" ht="15" customHeight="1">
      <c r="B335" s="550"/>
      <c r="C335" s="550"/>
      <c r="D335" s="550"/>
      <c r="E335" s="550"/>
      <c r="F335" s="550"/>
      <c r="G335" s="550"/>
      <c r="H335" s="550"/>
      <c r="I335" s="550"/>
      <c r="J335" s="550"/>
    </row>
    <row r="336" spans="2:10" ht="15" customHeight="1">
      <c r="B336" s="550"/>
      <c r="C336" s="550"/>
      <c r="D336" s="550"/>
      <c r="E336" s="550"/>
      <c r="F336" s="550"/>
      <c r="G336" s="550"/>
      <c r="H336" s="550"/>
      <c r="I336" s="550"/>
      <c r="J336" s="550"/>
    </row>
    <row r="337" spans="2:10" ht="15" customHeight="1">
      <c r="B337" s="550"/>
      <c r="C337" s="550"/>
      <c r="D337" s="550"/>
      <c r="E337" s="550"/>
      <c r="F337" s="550"/>
      <c r="G337" s="550"/>
      <c r="H337" s="550"/>
      <c r="I337" s="550"/>
      <c r="J337" s="550"/>
    </row>
    <row r="338" spans="2:10" ht="15" customHeight="1">
      <c r="B338" s="550"/>
      <c r="C338" s="550"/>
      <c r="D338" s="550"/>
      <c r="E338" s="550"/>
      <c r="F338" s="550"/>
      <c r="G338" s="550"/>
      <c r="H338" s="550"/>
      <c r="I338" s="550"/>
      <c r="J338" s="550"/>
    </row>
    <row r="339" spans="2:10" ht="15" customHeight="1">
      <c r="B339" s="550"/>
      <c r="C339" s="550"/>
      <c r="D339" s="550"/>
      <c r="E339" s="550"/>
      <c r="F339" s="550"/>
      <c r="G339" s="550"/>
      <c r="H339" s="550"/>
      <c r="I339" s="550"/>
      <c r="J339" s="550"/>
    </row>
    <row r="340" spans="2:10" ht="15" customHeight="1">
      <c r="B340" s="550"/>
      <c r="C340" s="550"/>
      <c r="D340" s="550"/>
      <c r="E340" s="550"/>
      <c r="F340" s="550"/>
      <c r="G340" s="550"/>
      <c r="H340" s="550"/>
      <c r="I340" s="550"/>
      <c r="J340" s="550"/>
    </row>
    <row r="341" spans="2:10" ht="15" customHeight="1">
      <c r="B341" s="550"/>
      <c r="C341" s="550"/>
      <c r="D341" s="550"/>
      <c r="E341" s="550"/>
      <c r="F341" s="550"/>
      <c r="G341" s="550"/>
      <c r="H341" s="550"/>
      <c r="I341" s="550"/>
      <c r="J341" s="550"/>
    </row>
    <row r="342" spans="2:10" ht="15" customHeight="1">
      <c r="B342" s="550"/>
      <c r="C342" s="550"/>
      <c r="D342" s="550"/>
      <c r="E342" s="550"/>
      <c r="F342" s="550"/>
      <c r="G342" s="550"/>
      <c r="H342" s="550"/>
      <c r="I342" s="550"/>
      <c r="J342" s="550"/>
    </row>
    <row r="343" spans="2:10" ht="15" customHeight="1">
      <c r="B343" s="550"/>
      <c r="C343" s="550"/>
      <c r="D343" s="550"/>
      <c r="E343" s="550"/>
      <c r="F343" s="550"/>
      <c r="G343" s="550"/>
      <c r="H343" s="550"/>
      <c r="I343" s="550"/>
      <c r="J343" s="550"/>
    </row>
    <row r="344" spans="2:10" ht="15" customHeight="1">
      <c r="B344" s="550"/>
      <c r="C344" s="550"/>
      <c r="D344" s="550"/>
      <c r="E344" s="550"/>
      <c r="F344" s="550"/>
      <c r="G344" s="550"/>
      <c r="H344" s="550"/>
      <c r="I344" s="550"/>
      <c r="J344" s="550"/>
    </row>
    <row r="345" spans="2:10" ht="15" customHeight="1">
      <c r="B345" s="550"/>
      <c r="C345" s="550"/>
      <c r="D345" s="550"/>
      <c r="E345" s="550"/>
      <c r="F345" s="550"/>
      <c r="G345" s="550"/>
      <c r="H345" s="550"/>
      <c r="I345" s="550"/>
      <c r="J345" s="550"/>
    </row>
    <row r="346" spans="2:10" ht="15" customHeight="1">
      <c r="B346" s="550"/>
      <c r="C346" s="550"/>
      <c r="D346" s="550"/>
      <c r="E346" s="550"/>
      <c r="F346" s="550"/>
      <c r="G346" s="550"/>
      <c r="H346" s="550"/>
      <c r="I346" s="550"/>
      <c r="J346" s="550"/>
    </row>
    <row r="347" spans="2:10" ht="15" customHeight="1">
      <c r="B347" s="550"/>
      <c r="C347" s="550"/>
      <c r="D347" s="550"/>
      <c r="E347" s="550"/>
      <c r="F347" s="550"/>
      <c r="G347" s="550"/>
      <c r="H347" s="550"/>
      <c r="I347" s="550"/>
      <c r="J347" s="550"/>
    </row>
    <row r="348" spans="2:10" ht="15" customHeight="1">
      <c r="B348" s="550"/>
      <c r="C348" s="550"/>
      <c r="D348" s="550"/>
      <c r="E348" s="550"/>
      <c r="F348" s="550"/>
      <c r="G348" s="550"/>
      <c r="H348" s="550"/>
      <c r="I348" s="550"/>
      <c r="J348" s="550"/>
    </row>
    <row r="349" spans="2:10" ht="15" customHeight="1">
      <c r="B349" s="550"/>
      <c r="C349" s="550"/>
      <c r="D349" s="550"/>
      <c r="E349" s="550"/>
      <c r="F349" s="550"/>
      <c r="G349" s="550"/>
      <c r="H349" s="550"/>
      <c r="I349" s="550"/>
      <c r="J349" s="550"/>
    </row>
    <row r="350" spans="2:10" ht="15" customHeight="1">
      <c r="B350" s="550"/>
      <c r="C350" s="550"/>
      <c r="D350" s="550"/>
      <c r="E350" s="550"/>
      <c r="F350" s="550"/>
      <c r="G350" s="550"/>
      <c r="H350" s="550"/>
      <c r="I350" s="550"/>
      <c r="J350" s="550"/>
    </row>
    <row r="351" spans="2:10" ht="15" customHeight="1">
      <c r="B351" s="550"/>
      <c r="C351" s="550"/>
      <c r="D351" s="550"/>
      <c r="E351" s="550"/>
      <c r="F351" s="550"/>
      <c r="G351" s="550"/>
      <c r="H351" s="550"/>
      <c r="I351" s="550"/>
      <c r="J351" s="550"/>
    </row>
    <row r="352" spans="2:10" ht="15" customHeight="1">
      <c r="B352" s="550"/>
      <c r="C352" s="550"/>
      <c r="D352" s="550"/>
      <c r="E352" s="550"/>
      <c r="F352" s="550"/>
      <c r="G352" s="550"/>
      <c r="H352" s="550"/>
      <c r="I352" s="550"/>
      <c r="J352" s="550"/>
    </row>
    <row r="353" spans="2:10" ht="15" customHeight="1">
      <c r="B353" s="550"/>
      <c r="C353" s="550"/>
      <c r="D353" s="550"/>
      <c r="E353" s="550"/>
      <c r="F353" s="550"/>
      <c r="G353" s="550"/>
      <c r="H353" s="550"/>
      <c r="I353" s="550"/>
      <c r="J353" s="550"/>
    </row>
    <row r="354" spans="2:10" ht="15" customHeight="1">
      <c r="B354" s="550"/>
      <c r="C354" s="550"/>
      <c r="D354" s="550"/>
      <c r="E354" s="550"/>
      <c r="F354" s="550"/>
      <c r="G354" s="550"/>
      <c r="H354" s="550"/>
      <c r="I354" s="550"/>
      <c r="J354" s="550"/>
    </row>
    <row r="355" spans="2:10" ht="15" customHeight="1">
      <c r="B355" s="550"/>
      <c r="C355" s="550"/>
      <c r="D355" s="550"/>
      <c r="E355" s="550"/>
      <c r="F355" s="550"/>
      <c r="G355" s="550"/>
      <c r="H355" s="550"/>
      <c r="I355" s="550"/>
      <c r="J355" s="550"/>
    </row>
    <row r="356" spans="2:10" ht="15" customHeight="1">
      <c r="B356" s="550"/>
      <c r="C356" s="550"/>
      <c r="D356" s="550"/>
      <c r="E356" s="550"/>
      <c r="F356" s="550"/>
      <c r="G356" s="550"/>
      <c r="H356" s="550"/>
      <c r="I356" s="550"/>
      <c r="J356" s="550"/>
    </row>
    <row r="357" spans="2:10" ht="15" customHeight="1">
      <c r="B357" s="550"/>
      <c r="C357" s="550"/>
      <c r="D357" s="550"/>
      <c r="E357" s="550"/>
      <c r="F357" s="550"/>
      <c r="G357" s="550"/>
      <c r="H357" s="550"/>
      <c r="I357" s="550"/>
      <c r="J357" s="550"/>
    </row>
    <row r="358" spans="2:10" ht="15" customHeight="1">
      <c r="B358" s="550"/>
      <c r="C358" s="550"/>
      <c r="D358" s="550"/>
      <c r="E358" s="550"/>
      <c r="F358" s="550"/>
      <c r="G358" s="550"/>
      <c r="H358" s="550"/>
      <c r="I358" s="550"/>
      <c r="J358" s="550"/>
    </row>
    <row r="359" spans="2:10" ht="15" customHeight="1">
      <c r="B359" s="550"/>
      <c r="C359" s="550"/>
      <c r="D359" s="550"/>
      <c r="E359" s="550"/>
      <c r="F359" s="550"/>
      <c r="G359" s="550"/>
      <c r="H359" s="550"/>
      <c r="I359" s="550"/>
      <c r="J359" s="550"/>
    </row>
    <row r="360" spans="2:10" ht="15" customHeight="1">
      <c r="B360" s="550"/>
      <c r="C360" s="550"/>
      <c r="D360" s="550"/>
      <c r="E360" s="550"/>
      <c r="F360" s="550"/>
      <c r="G360" s="550"/>
      <c r="H360" s="550"/>
      <c r="I360" s="550"/>
      <c r="J360" s="550"/>
    </row>
    <row r="361" spans="2:10" ht="15" customHeight="1">
      <c r="B361" s="550"/>
      <c r="C361" s="550"/>
      <c r="D361" s="550"/>
      <c r="E361" s="550"/>
      <c r="F361" s="550"/>
      <c r="G361" s="550"/>
      <c r="H361" s="550"/>
      <c r="I361" s="550"/>
      <c r="J361" s="550"/>
    </row>
    <row r="362" spans="2:10" ht="15" customHeight="1">
      <c r="B362" s="550"/>
      <c r="C362" s="550"/>
      <c r="D362" s="550"/>
      <c r="E362" s="550"/>
      <c r="F362" s="550"/>
      <c r="G362" s="550"/>
      <c r="H362" s="550"/>
      <c r="I362" s="550"/>
      <c r="J362" s="550"/>
    </row>
    <row r="363" spans="2:10" ht="15" customHeight="1">
      <c r="B363" s="550"/>
      <c r="C363" s="550"/>
      <c r="D363" s="550"/>
      <c r="E363" s="550"/>
      <c r="F363" s="550"/>
      <c r="G363" s="550"/>
      <c r="H363" s="550"/>
      <c r="I363" s="550"/>
      <c r="J363" s="550"/>
    </row>
    <row r="364" spans="2:10" ht="15" customHeight="1">
      <c r="B364" s="550"/>
      <c r="C364" s="550"/>
      <c r="D364" s="550"/>
      <c r="E364" s="550"/>
      <c r="F364" s="550"/>
      <c r="G364" s="550"/>
      <c r="H364" s="550"/>
      <c r="I364" s="550"/>
      <c r="J364" s="550"/>
    </row>
    <row r="365" spans="2:10" ht="15" customHeight="1">
      <c r="B365" s="550"/>
      <c r="C365" s="550"/>
      <c r="D365" s="550"/>
      <c r="E365" s="550"/>
      <c r="F365" s="550"/>
      <c r="G365" s="550"/>
      <c r="H365" s="550"/>
      <c r="I365" s="550"/>
      <c r="J365" s="550"/>
    </row>
    <row r="366" spans="2:10" ht="15" customHeight="1">
      <c r="B366" s="550"/>
      <c r="C366" s="550"/>
      <c r="D366" s="550"/>
      <c r="E366" s="550"/>
      <c r="F366" s="550"/>
      <c r="G366" s="550"/>
      <c r="H366" s="550"/>
      <c r="I366" s="550"/>
      <c r="J366" s="550"/>
    </row>
    <row r="367" spans="2:10" ht="15" customHeight="1">
      <c r="B367" s="550"/>
      <c r="C367" s="550"/>
      <c r="D367" s="550"/>
      <c r="E367" s="550"/>
      <c r="F367" s="550"/>
      <c r="G367" s="550"/>
      <c r="H367" s="550"/>
      <c r="I367" s="550"/>
      <c r="J367" s="550"/>
    </row>
    <row r="368" spans="2:10" ht="15" customHeight="1">
      <c r="B368" s="550"/>
      <c r="C368" s="550"/>
      <c r="D368" s="550"/>
      <c r="E368" s="550"/>
      <c r="F368" s="550"/>
      <c r="G368" s="550"/>
      <c r="H368" s="550"/>
      <c r="I368" s="550"/>
      <c r="J368" s="550"/>
    </row>
    <row r="369" spans="2:10" ht="15" customHeight="1">
      <c r="B369" s="550"/>
      <c r="C369" s="550"/>
      <c r="D369" s="550"/>
      <c r="E369" s="550"/>
      <c r="F369" s="550"/>
      <c r="G369" s="550"/>
      <c r="H369" s="550"/>
      <c r="I369" s="550"/>
      <c r="J369" s="550"/>
    </row>
    <row r="370" spans="2:10" ht="15" customHeight="1">
      <c r="B370" s="550"/>
      <c r="C370" s="550"/>
      <c r="D370" s="550"/>
      <c r="E370" s="550"/>
      <c r="F370" s="550"/>
      <c r="G370" s="550"/>
      <c r="H370" s="550"/>
      <c r="I370" s="550"/>
      <c r="J370" s="550"/>
    </row>
    <row r="371" spans="2:10" ht="15" customHeight="1">
      <c r="B371" s="550"/>
      <c r="C371" s="550"/>
      <c r="D371" s="550"/>
      <c r="E371" s="550"/>
      <c r="F371" s="550"/>
      <c r="G371" s="550"/>
      <c r="H371" s="550"/>
      <c r="I371" s="550"/>
      <c r="J371" s="550"/>
    </row>
    <row r="372" spans="2:10" ht="15" customHeight="1">
      <c r="B372" s="550"/>
      <c r="C372" s="550"/>
      <c r="D372" s="550"/>
      <c r="E372" s="550"/>
      <c r="F372" s="550"/>
      <c r="G372" s="550"/>
      <c r="H372" s="550"/>
      <c r="I372" s="550"/>
      <c r="J372" s="550"/>
    </row>
    <row r="373" spans="2:10" ht="15" customHeight="1">
      <c r="B373" s="550"/>
      <c r="C373" s="550"/>
      <c r="D373" s="550"/>
      <c r="E373" s="550"/>
      <c r="F373" s="550"/>
      <c r="G373" s="550"/>
      <c r="H373" s="550"/>
      <c r="I373" s="550"/>
      <c r="J373" s="550"/>
    </row>
    <row r="374" spans="2:10" ht="15" customHeight="1">
      <c r="B374" s="550"/>
      <c r="C374" s="550"/>
      <c r="D374" s="550"/>
      <c r="E374" s="550"/>
      <c r="F374" s="550"/>
      <c r="G374" s="550"/>
      <c r="H374" s="550"/>
      <c r="I374" s="550"/>
      <c r="J374" s="550"/>
    </row>
    <row r="375" spans="2:10" ht="15" customHeight="1">
      <c r="B375" s="550"/>
      <c r="C375" s="550"/>
      <c r="D375" s="550"/>
      <c r="E375" s="550"/>
      <c r="F375" s="550"/>
      <c r="G375" s="550"/>
      <c r="H375" s="550"/>
      <c r="I375" s="550"/>
      <c r="J375" s="550"/>
    </row>
    <row r="376" spans="2:10" ht="15" customHeight="1">
      <c r="B376" s="550"/>
      <c r="C376" s="550"/>
      <c r="D376" s="550"/>
      <c r="E376" s="550"/>
      <c r="F376" s="550"/>
      <c r="G376" s="550"/>
      <c r="H376" s="550"/>
      <c r="I376" s="550"/>
      <c r="J376" s="550"/>
    </row>
    <row r="377" spans="2:10" ht="15" customHeight="1">
      <c r="B377" s="550"/>
      <c r="C377" s="550"/>
      <c r="D377" s="550"/>
      <c r="E377" s="550"/>
      <c r="F377" s="550"/>
      <c r="G377" s="550"/>
      <c r="H377" s="550"/>
      <c r="I377" s="550"/>
      <c r="J377" s="550"/>
    </row>
    <row r="378" spans="2:10" ht="15" customHeight="1">
      <c r="B378" s="550"/>
      <c r="C378" s="550"/>
      <c r="D378" s="550"/>
      <c r="E378" s="550"/>
      <c r="F378" s="550"/>
      <c r="G378" s="550"/>
      <c r="H378" s="550"/>
      <c r="I378" s="550"/>
      <c r="J378" s="550"/>
    </row>
    <row r="379" spans="2:10" ht="15" customHeight="1">
      <c r="B379" s="550"/>
      <c r="C379" s="550"/>
      <c r="D379" s="550"/>
      <c r="E379" s="550"/>
      <c r="F379" s="550"/>
      <c r="G379" s="550"/>
      <c r="H379" s="550"/>
      <c r="I379" s="550"/>
      <c r="J379" s="550"/>
    </row>
    <row r="380" spans="2:10" ht="15" customHeight="1">
      <c r="B380" s="550"/>
      <c r="C380" s="550"/>
      <c r="D380" s="550"/>
      <c r="E380" s="550"/>
      <c r="F380" s="550"/>
      <c r="G380" s="550"/>
      <c r="H380" s="550"/>
      <c r="I380" s="550"/>
      <c r="J380" s="550"/>
    </row>
    <row r="381" spans="2:10" ht="15" customHeight="1">
      <c r="B381" s="550"/>
      <c r="C381" s="550"/>
      <c r="D381" s="550"/>
      <c r="E381" s="550"/>
      <c r="F381" s="550"/>
      <c r="G381" s="550"/>
      <c r="H381" s="550"/>
      <c r="I381" s="550"/>
      <c r="J381" s="550"/>
    </row>
    <row r="382" spans="2:10" ht="15" customHeight="1">
      <c r="B382" s="550"/>
      <c r="C382" s="550"/>
      <c r="D382" s="550"/>
      <c r="E382" s="550"/>
      <c r="F382" s="550"/>
      <c r="G382" s="550"/>
      <c r="H382" s="550"/>
      <c r="I382" s="550"/>
      <c r="J382" s="550"/>
    </row>
    <row r="383" spans="2:10" ht="15" customHeight="1">
      <c r="B383" s="550"/>
      <c r="C383" s="550"/>
      <c r="D383" s="550"/>
      <c r="E383" s="550"/>
      <c r="F383" s="550"/>
      <c r="G383" s="550"/>
      <c r="H383" s="550"/>
      <c r="I383" s="550"/>
      <c r="J383" s="550"/>
    </row>
    <row r="384" spans="2:10" ht="15" customHeight="1">
      <c r="B384" s="550"/>
      <c r="C384" s="550"/>
      <c r="D384" s="550"/>
      <c r="E384" s="550"/>
      <c r="F384" s="550"/>
      <c r="G384" s="550"/>
      <c r="H384" s="550"/>
      <c r="I384" s="550"/>
      <c r="J384" s="550"/>
    </row>
    <row r="385" spans="2:10" ht="15" customHeight="1">
      <c r="B385" s="550"/>
      <c r="C385" s="550"/>
      <c r="D385" s="550"/>
      <c r="E385" s="550"/>
      <c r="F385" s="550"/>
      <c r="G385" s="550"/>
      <c r="H385" s="550"/>
      <c r="I385" s="550"/>
      <c r="J385" s="550"/>
    </row>
    <row r="386" spans="2:10" ht="15" customHeight="1">
      <c r="B386" s="550"/>
      <c r="C386" s="550"/>
      <c r="D386" s="550"/>
      <c r="E386" s="550"/>
      <c r="F386" s="550"/>
      <c r="G386" s="550"/>
      <c r="H386" s="550"/>
      <c r="I386" s="550"/>
      <c r="J386" s="550"/>
    </row>
    <row r="387" spans="2:10" ht="15" customHeight="1">
      <c r="B387" s="550"/>
      <c r="C387" s="550"/>
      <c r="D387" s="550"/>
      <c r="E387" s="550"/>
      <c r="F387" s="550"/>
      <c r="G387" s="550"/>
      <c r="H387" s="550"/>
      <c r="I387" s="550"/>
      <c r="J387" s="550"/>
    </row>
    <row r="388" spans="2:10" ht="15" customHeight="1">
      <c r="B388" s="550"/>
      <c r="C388" s="550"/>
      <c r="D388" s="550"/>
      <c r="E388" s="550"/>
      <c r="F388" s="550"/>
      <c r="G388" s="550"/>
      <c r="H388" s="550"/>
      <c r="I388" s="550"/>
      <c r="J388" s="550"/>
    </row>
    <row r="389" spans="2:10" ht="15" customHeight="1">
      <c r="B389" s="550"/>
      <c r="C389" s="550"/>
      <c r="D389" s="550"/>
      <c r="E389" s="550"/>
      <c r="F389" s="550"/>
      <c r="G389" s="550"/>
      <c r="H389" s="550"/>
      <c r="I389" s="550"/>
      <c r="J389" s="550"/>
    </row>
    <row r="390" spans="2:10" ht="15" customHeight="1">
      <c r="B390" s="550"/>
      <c r="C390" s="550"/>
      <c r="D390" s="550"/>
      <c r="E390" s="550"/>
      <c r="F390" s="550"/>
      <c r="G390" s="550"/>
      <c r="H390" s="550"/>
      <c r="I390" s="550"/>
      <c r="J390" s="550"/>
    </row>
    <row r="391" spans="2:10" ht="15" customHeight="1">
      <c r="B391" s="550"/>
      <c r="C391" s="550"/>
      <c r="D391" s="550"/>
      <c r="E391" s="550"/>
      <c r="F391" s="550"/>
      <c r="G391" s="550"/>
      <c r="H391" s="550"/>
      <c r="I391" s="550"/>
      <c r="J391" s="550"/>
    </row>
    <row r="392" spans="2:10" ht="15" customHeight="1">
      <c r="B392" s="550"/>
      <c r="C392" s="550"/>
      <c r="D392" s="550"/>
      <c r="E392" s="550"/>
      <c r="F392" s="550"/>
      <c r="G392" s="550"/>
      <c r="H392" s="550"/>
      <c r="I392" s="550"/>
      <c r="J392" s="550"/>
    </row>
    <row r="393" spans="2:10" ht="15" customHeight="1">
      <c r="B393" s="550"/>
      <c r="C393" s="550"/>
      <c r="D393" s="550"/>
      <c r="E393" s="550"/>
      <c r="F393" s="550"/>
      <c r="G393" s="550"/>
      <c r="H393" s="550"/>
      <c r="I393" s="550"/>
      <c r="J393" s="550"/>
    </row>
    <row r="394" spans="2:10" ht="15" customHeight="1">
      <c r="B394" s="550"/>
      <c r="C394" s="550"/>
      <c r="D394" s="550"/>
      <c r="E394" s="550"/>
      <c r="F394" s="550"/>
      <c r="G394" s="550"/>
      <c r="H394" s="550"/>
      <c r="I394" s="550"/>
      <c r="J394" s="550"/>
    </row>
    <row r="395" spans="2:10" ht="15" customHeight="1">
      <c r="B395" s="550"/>
      <c r="C395" s="550"/>
      <c r="D395" s="550"/>
      <c r="E395" s="550"/>
      <c r="F395" s="550"/>
      <c r="G395" s="550"/>
      <c r="H395" s="550"/>
      <c r="I395" s="550"/>
      <c r="J395" s="550"/>
    </row>
    <row r="396" spans="2:10" ht="15" customHeight="1">
      <c r="B396" s="550"/>
      <c r="C396" s="550"/>
      <c r="D396" s="550"/>
      <c r="E396" s="550"/>
      <c r="F396" s="550"/>
      <c r="G396" s="550"/>
      <c r="H396" s="550"/>
      <c r="I396" s="550"/>
      <c r="J396" s="550"/>
    </row>
    <row r="397" spans="2:10" ht="15" customHeight="1">
      <c r="B397" s="550"/>
      <c r="C397" s="550"/>
      <c r="D397" s="550"/>
      <c r="E397" s="550"/>
      <c r="F397" s="550"/>
      <c r="G397" s="550"/>
      <c r="H397" s="550"/>
      <c r="I397" s="550"/>
      <c r="J397" s="550"/>
    </row>
    <row r="398" spans="2:10" ht="15" customHeight="1">
      <c r="B398" s="550"/>
      <c r="C398" s="550"/>
      <c r="D398" s="550"/>
      <c r="E398" s="550"/>
      <c r="F398" s="550"/>
      <c r="G398" s="550"/>
      <c r="H398" s="550"/>
      <c r="I398" s="550"/>
      <c r="J398" s="550"/>
    </row>
    <row r="399" spans="2:10" ht="15" customHeight="1">
      <c r="B399" s="550"/>
      <c r="C399" s="550"/>
      <c r="D399" s="550"/>
      <c r="E399" s="550"/>
      <c r="F399" s="550"/>
      <c r="G399" s="550"/>
      <c r="H399" s="550"/>
      <c r="I399" s="550"/>
      <c r="J399" s="550"/>
    </row>
    <row r="400" spans="2:10" ht="15" customHeight="1">
      <c r="B400" s="550"/>
      <c r="C400" s="550"/>
      <c r="D400" s="550"/>
      <c r="E400" s="550"/>
      <c r="F400" s="550"/>
      <c r="G400" s="550"/>
      <c r="H400" s="550"/>
      <c r="I400" s="550"/>
      <c r="J400" s="550"/>
    </row>
    <row r="401" spans="2:10" ht="15" customHeight="1">
      <c r="B401" s="550"/>
      <c r="C401" s="550"/>
      <c r="D401" s="550"/>
      <c r="E401" s="550"/>
      <c r="F401" s="550"/>
      <c r="G401" s="550"/>
      <c r="H401" s="550"/>
      <c r="I401" s="550"/>
      <c r="J401" s="550"/>
    </row>
    <row r="402" spans="2:10" ht="15" customHeight="1">
      <c r="B402" s="550"/>
      <c r="C402" s="550"/>
      <c r="D402" s="550"/>
      <c r="E402" s="550"/>
      <c r="F402" s="550"/>
      <c r="G402" s="550"/>
      <c r="H402" s="550"/>
      <c r="I402" s="550"/>
      <c r="J402" s="550"/>
    </row>
    <row r="403" spans="2:10" ht="15" customHeight="1">
      <c r="B403" s="550"/>
      <c r="C403" s="550"/>
      <c r="D403" s="550"/>
      <c r="E403" s="550"/>
      <c r="F403" s="550"/>
      <c r="G403" s="550"/>
      <c r="H403" s="550"/>
      <c r="I403" s="550"/>
      <c r="J403" s="550"/>
    </row>
    <row r="404" spans="2:10" ht="15" customHeight="1">
      <c r="B404" s="550"/>
      <c r="C404" s="550"/>
      <c r="D404" s="550"/>
      <c r="E404" s="550"/>
      <c r="F404" s="550"/>
      <c r="G404" s="550"/>
      <c r="H404" s="550"/>
      <c r="I404" s="550"/>
      <c r="J404" s="550"/>
    </row>
    <row r="405" spans="2:10" ht="15" customHeight="1">
      <c r="B405" s="550"/>
      <c r="C405" s="550"/>
      <c r="D405" s="550"/>
      <c r="E405" s="550"/>
      <c r="F405" s="550"/>
      <c r="G405" s="550"/>
      <c r="H405" s="550"/>
      <c r="I405" s="550"/>
      <c r="J405" s="550"/>
    </row>
    <row r="406" spans="2:10" ht="15" customHeight="1">
      <c r="B406" s="550"/>
      <c r="C406" s="550"/>
      <c r="D406" s="550"/>
      <c r="E406" s="550"/>
      <c r="F406" s="550"/>
      <c r="G406" s="550"/>
      <c r="H406" s="550"/>
      <c r="I406" s="550"/>
      <c r="J406" s="550"/>
    </row>
    <row r="407" spans="2:10" ht="15" customHeight="1">
      <c r="B407" s="550"/>
      <c r="C407" s="550"/>
      <c r="D407" s="550"/>
      <c r="E407" s="550"/>
      <c r="F407" s="550"/>
      <c r="G407" s="550"/>
      <c r="H407" s="550"/>
      <c r="I407" s="550"/>
      <c r="J407" s="550"/>
    </row>
    <row r="408" spans="2:10" ht="15" customHeight="1">
      <c r="B408" s="550"/>
      <c r="C408" s="550"/>
      <c r="D408" s="550"/>
      <c r="E408" s="550"/>
      <c r="F408" s="550"/>
      <c r="G408" s="550"/>
      <c r="H408" s="550"/>
      <c r="I408" s="550"/>
      <c r="J408" s="550"/>
    </row>
    <row r="409" spans="2:10" ht="15" customHeight="1">
      <c r="B409" s="550"/>
      <c r="C409" s="550"/>
      <c r="D409" s="550"/>
      <c r="E409" s="550"/>
      <c r="F409" s="550"/>
      <c r="G409" s="550"/>
      <c r="H409" s="550"/>
      <c r="I409" s="550"/>
      <c r="J409" s="550"/>
    </row>
    <row r="410" spans="2:10" ht="15" customHeight="1">
      <c r="B410" s="550"/>
      <c r="C410" s="550"/>
      <c r="D410" s="550"/>
      <c r="E410" s="550"/>
      <c r="F410" s="550"/>
      <c r="G410" s="550"/>
      <c r="H410" s="550"/>
      <c r="I410" s="550"/>
      <c r="J410" s="550"/>
    </row>
    <row r="411" spans="2:10" ht="15" customHeight="1">
      <c r="B411" s="550"/>
      <c r="C411" s="550"/>
      <c r="D411" s="550"/>
      <c r="E411" s="550"/>
      <c r="F411" s="550"/>
      <c r="G411" s="550"/>
      <c r="H411" s="550"/>
      <c r="I411" s="550"/>
      <c r="J411" s="550"/>
    </row>
    <row r="412" spans="2:10" ht="15" customHeight="1">
      <c r="B412" s="550"/>
      <c r="C412" s="550"/>
      <c r="D412" s="550"/>
      <c r="E412" s="550"/>
      <c r="F412" s="550"/>
      <c r="G412" s="550"/>
      <c r="H412" s="550"/>
      <c r="I412" s="550"/>
      <c r="J412" s="550"/>
    </row>
    <row r="413" spans="2:10" ht="15" customHeight="1">
      <c r="B413" s="550"/>
      <c r="C413" s="550"/>
      <c r="D413" s="550"/>
      <c r="E413" s="550"/>
      <c r="F413" s="550"/>
      <c r="G413" s="550"/>
      <c r="H413" s="550"/>
      <c r="I413" s="550"/>
      <c r="J413" s="550"/>
    </row>
    <row r="414" spans="2:10" ht="15" customHeight="1">
      <c r="B414" s="550"/>
      <c r="C414" s="550"/>
      <c r="D414" s="550"/>
      <c r="E414" s="550"/>
      <c r="F414" s="550"/>
      <c r="G414" s="550"/>
      <c r="H414" s="550"/>
      <c r="I414" s="550"/>
      <c r="J414" s="550"/>
    </row>
    <row r="415" spans="2:10" ht="15" customHeight="1">
      <c r="B415" s="550"/>
      <c r="C415" s="550"/>
      <c r="D415" s="550"/>
      <c r="E415" s="550"/>
      <c r="F415" s="550"/>
      <c r="G415" s="550"/>
      <c r="H415" s="550"/>
      <c r="I415" s="550"/>
      <c r="J415" s="550"/>
    </row>
    <row r="416" spans="2:10" ht="15" customHeight="1">
      <c r="B416" s="550"/>
      <c r="C416" s="550"/>
      <c r="D416" s="550"/>
      <c r="E416" s="550"/>
      <c r="F416" s="550"/>
      <c r="G416" s="550"/>
      <c r="H416" s="550"/>
      <c r="I416" s="550"/>
      <c r="J416" s="550"/>
    </row>
    <row r="417" spans="2:10" ht="15" customHeight="1">
      <c r="B417" s="550"/>
      <c r="C417" s="550"/>
      <c r="D417" s="550"/>
      <c r="E417" s="550"/>
      <c r="F417" s="550"/>
      <c r="G417" s="550"/>
      <c r="H417" s="550"/>
      <c r="I417" s="550"/>
      <c r="J417" s="550"/>
    </row>
    <row r="418" spans="2:10" ht="15" customHeight="1">
      <c r="B418" s="550"/>
      <c r="C418" s="550"/>
      <c r="D418" s="550"/>
      <c r="E418" s="550"/>
      <c r="F418" s="550"/>
      <c r="G418" s="550"/>
      <c r="H418" s="550"/>
      <c r="I418" s="550"/>
      <c r="J418" s="550"/>
    </row>
    <row r="419" spans="2:10" ht="15" customHeight="1">
      <c r="B419" s="550"/>
      <c r="C419" s="550"/>
      <c r="D419" s="550"/>
      <c r="E419" s="550"/>
      <c r="F419" s="550"/>
      <c r="G419" s="550"/>
      <c r="H419" s="550"/>
      <c r="I419" s="550"/>
      <c r="J419" s="550"/>
    </row>
    <row r="420" spans="2:10" ht="15" customHeight="1">
      <c r="B420" s="550"/>
      <c r="C420" s="550"/>
      <c r="D420" s="550"/>
      <c r="E420" s="550"/>
      <c r="F420" s="550"/>
      <c r="G420" s="550"/>
      <c r="H420" s="550"/>
      <c r="I420" s="550"/>
      <c r="J420" s="550"/>
    </row>
    <row r="421" spans="2:10" ht="15" customHeight="1">
      <c r="B421" s="550"/>
      <c r="C421" s="550"/>
      <c r="D421" s="550"/>
      <c r="E421" s="550"/>
      <c r="F421" s="550"/>
      <c r="G421" s="550"/>
      <c r="H421" s="550"/>
      <c r="I421" s="550"/>
      <c r="J421" s="550"/>
    </row>
    <row r="422" spans="2:10" ht="15" customHeight="1">
      <c r="B422" s="550"/>
      <c r="C422" s="550"/>
      <c r="D422" s="550"/>
      <c r="E422" s="550"/>
      <c r="F422" s="550"/>
      <c r="G422" s="550"/>
      <c r="H422" s="550"/>
      <c r="I422" s="550"/>
      <c r="J422" s="550"/>
    </row>
    <row r="423" spans="2:10" ht="15" customHeight="1">
      <c r="B423" s="550"/>
      <c r="C423" s="550"/>
      <c r="D423" s="550"/>
      <c r="E423" s="550"/>
      <c r="F423" s="550"/>
      <c r="G423" s="550"/>
      <c r="H423" s="550"/>
      <c r="I423" s="550"/>
      <c r="J423" s="550"/>
    </row>
    <row r="424" spans="2:10" ht="15" customHeight="1">
      <c r="B424" s="550"/>
      <c r="C424" s="550"/>
      <c r="D424" s="550"/>
      <c r="E424" s="550"/>
      <c r="F424" s="550"/>
      <c r="G424" s="550"/>
      <c r="H424" s="550"/>
      <c r="I424" s="550"/>
      <c r="J424" s="550"/>
    </row>
    <row r="425" spans="2:10" ht="15" customHeight="1">
      <c r="B425" s="550"/>
      <c r="C425" s="550"/>
      <c r="D425" s="550"/>
      <c r="E425" s="550"/>
      <c r="F425" s="550"/>
      <c r="G425" s="550"/>
      <c r="H425" s="550"/>
      <c r="I425" s="550"/>
      <c r="J425" s="550"/>
    </row>
    <row r="426" spans="2:10" ht="15" customHeight="1">
      <c r="B426" s="550"/>
      <c r="C426" s="550"/>
      <c r="D426" s="550"/>
      <c r="E426" s="550"/>
      <c r="F426" s="550"/>
      <c r="G426" s="550"/>
      <c r="H426" s="550"/>
      <c r="I426" s="550"/>
      <c r="J426" s="550"/>
    </row>
    <row r="427" spans="2:10" ht="15" customHeight="1">
      <c r="B427" s="550"/>
      <c r="C427" s="550"/>
      <c r="D427" s="550"/>
      <c r="E427" s="550"/>
      <c r="F427" s="550"/>
      <c r="G427" s="550"/>
      <c r="H427" s="550"/>
      <c r="I427" s="550"/>
      <c r="J427" s="550"/>
    </row>
    <row r="428" spans="2:10" ht="15" customHeight="1">
      <c r="B428" s="550"/>
      <c r="C428" s="550"/>
      <c r="D428" s="550"/>
      <c r="E428" s="550"/>
      <c r="F428" s="550"/>
      <c r="G428" s="550"/>
      <c r="H428" s="550"/>
      <c r="I428" s="550"/>
      <c r="J428" s="550"/>
    </row>
    <row r="429" spans="2:10" ht="15" customHeight="1">
      <c r="B429" s="550"/>
      <c r="C429" s="550"/>
      <c r="D429" s="550"/>
      <c r="E429" s="550"/>
      <c r="F429" s="550"/>
      <c r="G429" s="550"/>
      <c r="H429" s="550"/>
      <c r="I429" s="550"/>
      <c r="J429" s="550"/>
    </row>
    <row r="430" spans="2:10" ht="15" customHeight="1">
      <c r="B430" s="550"/>
      <c r="C430" s="550"/>
      <c r="D430" s="550"/>
      <c r="E430" s="550"/>
      <c r="F430" s="550"/>
      <c r="G430" s="550"/>
      <c r="H430" s="550"/>
      <c r="I430" s="550"/>
      <c r="J430" s="550"/>
    </row>
    <row r="431" spans="2:10" ht="15" customHeight="1">
      <c r="B431" s="550"/>
      <c r="C431" s="550"/>
      <c r="D431" s="550"/>
      <c r="E431" s="550"/>
      <c r="F431" s="550"/>
      <c r="G431" s="550"/>
      <c r="H431" s="550"/>
      <c r="I431" s="550"/>
      <c r="J431" s="550"/>
    </row>
    <row r="432" spans="2:10" ht="15" customHeight="1">
      <c r="B432" s="550"/>
      <c r="C432" s="550"/>
      <c r="D432" s="550"/>
      <c r="E432" s="550"/>
      <c r="F432" s="550"/>
      <c r="G432" s="550"/>
      <c r="H432" s="550"/>
      <c r="I432" s="550"/>
      <c r="J432" s="550"/>
    </row>
    <row r="433" spans="2:10" ht="15" customHeight="1">
      <c r="B433" s="550"/>
      <c r="C433" s="550"/>
      <c r="D433" s="550"/>
      <c r="E433" s="550"/>
      <c r="F433" s="550"/>
      <c r="G433" s="550"/>
      <c r="H433" s="550"/>
      <c r="I433" s="550"/>
      <c r="J433" s="550"/>
    </row>
    <row r="434" spans="2:10" ht="15" customHeight="1">
      <c r="B434" s="550"/>
      <c r="C434" s="550"/>
      <c r="D434" s="550"/>
      <c r="E434" s="550"/>
      <c r="F434" s="550"/>
      <c r="G434" s="550"/>
      <c r="H434" s="550"/>
      <c r="I434" s="550"/>
      <c r="J434" s="550"/>
    </row>
    <row r="435" spans="2:10" ht="15" customHeight="1">
      <c r="B435" s="550"/>
      <c r="C435" s="550"/>
      <c r="D435" s="550"/>
      <c r="E435" s="550"/>
      <c r="F435" s="550"/>
      <c r="G435" s="550"/>
      <c r="H435" s="550"/>
      <c r="I435" s="550"/>
      <c r="J435" s="550"/>
    </row>
    <row r="436" spans="2:10" ht="15" customHeight="1">
      <c r="B436" s="550"/>
      <c r="C436" s="550"/>
      <c r="D436" s="550"/>
      <c r="E436" s="550"/>
      <c r="F436" s="550"/>
      <c r="G436" s="550"/>
      <c r="H436" s="550"/>
      <c r="I436" s="550"/>
      <c r="J436" s="550"/>
    </row>
    <row r="437" spans="2:10" ht="15" customHeight="1">
      <c r="B437" s="550"/>
      <c r="C437" s="550"/>
      <c r="D437" s="550"/>
      <c r="E437" s="550"/>
      <c r="F437" s="550"/>
      <c r="G437" s="550"/>
      <c r="H437" s="550"/>
      <c r="I437" s="550"/>
      <c r="J437" s="550"/>
    </row>
    <row r="438" spans="2:10" ht="15" customHeight="1">
      <c r="B438" s="550"/>
      <c r="C438" s="550"/>
      <c r="D438" s="550"/>
      <c r="E438" s="550"/>
      <c r="F438" s="550"/>
      <c r="G438" s="550"/>
      <c r="H438" s="550"/>
      <c r="I438" s="550"/>
      <c r="J438" s="550"/>
    </row>
    <row r="439" spans="2:10" ht="15" customHeight="1">
      <c r="B439" s="550"/>
      <c r="C439" s="550"/>
      <c r="D439" s="550"/>
      <c r="E439" s="550"/>
      <c r="F439" s="550"/>
      <c r="G439" s="550"/>
      <c r="H439" s="550"/>
      <c r="I439" s="550"/>
      <c r="J439" s="550"/>
    </row>
    <row r="440" spans="2:10" ht="15" customHeight="1">
      <c r="B440" s="550"/>
      <c r="C440" s="550"/>
      <c r="D440" s="550"/>
      <c r="E440" s="550"/>
      <c r="F440" s="550"/>
      <c r="G440" s="550"/>
      <c r="H440" s="550"/>
      <c r="I440" s="550"/>
      <c r="J440" s="550"/>
    </row>
    <row r="441" spans="2:10" ht="15" customHeight="1">
      <c r="B441" s="550"/>
      <c r="C441" s="550"/>
      <c r="D441" s="550"/>
      <c r="E441" s="550"/>
      <c r="F441" s="550"/>
      <c r="G441" s="550"/>
      <c r="H441" s="550"/>
      <c r="I441" s="550"/>
      <c r="J441" s="550"/>
    </row>
    <row r="442" spans="2:10" ht="15" customHeight="1">
      <c r="B442" s="550"/>
      <c r="C442" s="550"/>
      <c r="D442" s="550"/>
      <c r="E442" s="550"/>
      <c r="F442" s="550"/>
      <c r="G442" s="550"/>
      <c r="H442" s="550"/>
      <c r="I442" s="550"/>
      <c r="J442" s="550"/>
    </row>
    <row r="443" spans="2:10" ht="15" customHeight="1">
      <c r="B443" s="550"/>
      <c r="C443" s="550"/>
      <c r="D443" s="550"/>
      <c r="E443" s="550"/>
      <c r="F443" s="550"/>
      <c r="G443" s="550"/>
      <c r="H443" s="550"/>
      <c r="I443" s="550"/>
      <c r="J443" s="550"/>
    </row>
    <row r="444" spans="2:10" ht="15" customHeight="1">
      <c r="B444" s="550"/>
      <c r="C444" s="550"/>
      <c r="D444" s="550"/>
      <c r="E444" s="550"/>
      <c r="F444" s="550"/>
      <c r="G444" s="550"/>
      <c r="H444" s="550"/>
      <c r="I444" s="550"/>
      <c r="J444" s="550"/>
    </row>
    <row r="445" spans="2:10" ht="15" customHeight="1">
      <c r="B445" s="550"/>
      <c r="C445" s="550"/>
      <c r="D445" s="550"/>
      <c r="E445" s="550"/>
      <c r="F445" s="550"/>
      <c r="G445" s="550"/>
      <c r="H445" s="550"/>
      <c r="I445" s="550"/>
      <c r="J445" s="550"/>
    </row>
    <row r="446" spans="2:10" ht="15" customHeight="1">
      <c r="B446" s="550"/>
      <c r="C446" s="550"/>
      <c r="D446" s="550"/>
      <c r="E446" s="550"/>
      <c r="F446" s="550"/>
      <c r="G446" s="550"/>
      <c r="H446" s="550"/>
      <c r="I446" s="550"/>
      <c r="J446" s="550"/>
    </row>
    <row r="447" spans="2:10" ht="15" customHeight="1">
      <c r="B447" s="550"/>
      <c r="C447" s="550"/>
      <c r="D447" s="550"/>
      <c r="E447" s="550"/>
      <c r="F447" s="550"/>
      <c r="G447" s="550"/>
      <c r="H447" s="550"/>
      <c r="I447" s="550"/>
      <c r="J447" s="550"/>
    </row>
    <row r="448" spans="2:10" ht="15" customHeight="1">
      <c r="B448" s="550"/>
      <c r="C448" s="550"/>
      <c r="D448" s="550"/>
      <c r="E448" s="550"/>
      <c r="F448" s="550"/>
      <c r="G448" s="550"/>
      <c r="H448" s="550"/>
      <c r="I448" s="550"/>
      <c r="J448" s="550"/>
    </row>
    <row r="449" spans="2:10" ht="15" customHeight="1">
      <c r="B449" s="550"/>
      <c r="C449" s="550"/>
      <c r="D449" s="550"/>
      <c r="E449" s="550"/>
      <c r="F449" s="550"/>
      <c r="G449" s="550"/>
      <c r="H449" s="550"/>
      <c r="I449" s="550"/>
      <c r="J449" s="550"/>
    </row>
    <row r="450" spans="2:10" ht="15" customHeight="1">
      <c r="B450" s="550"/>
      <c r="C450" s="550"/>
      <c r="D450" s="550"/>
      <c r="E450" s="550"/>
      <c r="F450" s="550"/>
      <c r="G450" s="550"/>
      <c r="H450" s="550"/>
      <c r="I450" s="550"/>
      <c r="J450" s="550"/>
    </row>
    <row r="451" spans="2:10" ht="15" customHeight="1">
      <c r="B451" s="550"/>
      <c r="C451" s="550"/>
      <c r="D451" s="550"/>
      <c r="E451" s="550"/>
      <c r="F451" s="550"/>
      <c r="G451" s="550"/>
      <c r="H451" s="550"/>
      <c r="I451" s="550"/>
      <c r="J451" s="550"/>
    </row>
    <row r="452" spans="2:10" ht="15" customHeight="1">
      <c r="B452" s="550"/>
      <c r="C452" s="550"/>
      <c r="D452" s="550"/>
      <c r="E452" s="550"/>
      <c r="F452" s="550"/>
      <c r="G452" s="550"/>
      <c r="H452" s="550"/>
      <c r="I452" s="550"/>
      <c r="J452" s="550"/>
    </row>
    <row r="453" spans="2:10" ht="15" customHeight="1">
      <c r="B453" s="550"/>
      <c r="C453" s="550"/>
      <c r="D453" s="550"/>
      <c r="E453" s="550"/>
      <c r="F453" s="550"/>
      <c r="G453" s="550"/>
      <c r="H453" s="550"/>
      <c r="I453" s="550"/>
      <c r="J453" s="550"/>
    </row>
    <row r="454" spans="2:10" ht="15" customHeight="1">
      <c r="B454" s="550"/>
      <c r="C454" s="550"/>
      <c r="D454" s="550"/>
      <c r="E454" s="550"/>
      <c r="F454" s="550"/>
      <c r="G454" s="550"/>
      <c r="H454" s="550"/>
      <c r="I454" s="550"/>
      <c r="J454" s="550"/>
    </row>
    <row r="455" spans="2:10" ht="15" customHeight="1">
      <c r="B455" s="550"/>
      <c r="C455" s="550"/>
      <c r="D455" s="550"/>
      <c r="E455" s="550"/>
      <c r="F455" s="550"/>
      <c r="G455" s="550"/>
      <c r="H455" s="550"/>
      <c r="I455" s="550"/>
      <c r="J455" s="550"/>
    </row>
    <row r="456" spans="2:10" ht="15" customHeight="1">
      <c r="B456" s="550"/>
      <c r="C456" s="550"/>
      <c r="D456" s="550"/>
      <c r="E456" s="550"/>
      <c r="F456" s="550"/>
      <c r="G456" s="550"/>
      <c r="H456" s="550"/>
      <c r="I456" s="550"/>
      <c r="J456" s="550"/>
    </row>
    <row r="457" spans="2:10" ht="15" customHeight="1">
      <c r="B457" s="550"/>
      <c r="C457" s="550"/>
      <c r="D457" s="550"/>
      <c r="E457" s="550"/>
      <c r="F457" s="550"/>
      <c r="G457" s="550"/>
      <c r="H457" s="550"/>
      <c r="I457" s="550"/>
      <c r="J457" s="550"/>
    </row>
    <row r="458" spans="2:10" ht="15" customHeight="1">
      <c r="B458" s="550"/>
      <c r="C458" s="550"/>
      <c r="D458" s="550"/>
      <c r="E458" s="550"/>
      <c r="F458" s="550"/>
      <c r="G458" s="550"/>
      <c r="H458" s="550"/>
      <c r="I458" s="550"/>
      <c r="J458" s="550"/>
    </row>
    <row r="459" spans="2:10" ht="15" customHeight="1">
      <c r="B459" s="550"/>
      <c r="C459" s="550"/>
      <c r="D459" s="550"/>
      <c r="E459" s="550"/>
      <c r="F459" s="550"/>
      <c r="G459" s="550"/>
      <c r="H459" s="550"/>
      <c r="I459" s="550"/>
      <c r="J459" s="550"/>
    </row>
    <row r="460" spans="2:10" ht="15" customHeight="1">
      <c r="B460" s="550"/>
      <c r="C460" s="550"/>
      <c r="D460" s="550"/>
      <c r="E460" s="550"/>
      <c r="F460" s="550"/>
      <c r="G460" s="550"/>
      <c r="H460" s="550"/>
      <c r="I460" s="550"/>
      <c r="J460" s="550"/>
    </row>
    <row r="461" spans="2:10" ht="15" customHeight="1">
      <c r="B461" s="550"/>
      <c r="C461" s="550"/>
      <c r="D461" s="550"/>
      <c r="E461" s="550"/>
      <c r="F461" s="550"/>
      <c r="G461" s="550"/>
      <c r="H461" s="550"/>
      <c r="I461" s="550"/>
      <c r="J461" s="550"/>
    </row>
    <row r="462" spans="2:10" ht="15" customHeight="1">
      <c r="B462" s="550"/>
      <c r="C462" s="550"/>
      <c r="D462" s="550"/>
      <c r="E462" s="550"/>
      <c r="F462" s="550"/>
      <c r="G462" s="550"/>
      <c r="H462" s="550"/>
      <c r="I462" s="550"/>
      <c r="J462" s="550"/>
    </row>
    <row r="463" spans="2:10" ht="15" customHeight="1">
      <c r="B463" s="550"/>
      <c r="C463" s="550"/>
      <c r="D463" s="550"/>
      <c r="E463" s="550"/>
      <c r="F463" s="550"/>
      <c r="G463" s="550"/>
      <c r="H463" s="550"/>
      <c r="I463" s="550"/>
      <c r="J463" s="550"/>
    </row>
    <row r="464" spans="2:10" ht="15" customHeight="1">
      <c r="B464" s="550"/>
      <c r="C464" s="550"/>
      <c r="D464" s="550"/>
      <c r="E464" s="550"/>
      <c r="F464" s="550"/>
      <c r="G464" s="550"/>
      <c r="H464" s="550"/>
      <c r="I464" s="550"/>
      <c r="J464" s="550"/>
    </row>
    <row r="465" spans="2:10" ht="15" customHeight="1">
      <c r="B465" s="550"/>
      <c r="C465" s="550"/>
      <c r="D465" s="550"/>
      <c r="E465" s="550"/>
      <c r="F465" s="550"/>
      <c r="G465" s="550"/>
      <c r="H465" s="550"/>
      <c r="I465" s="550"/>
      <c r="J465" s="550"/>
    </row>
    <row r="466" spans="2:10" ht="15" customHeight="1">
      <c r="B466" s="550"/>
      <c r="C466" s="550"/>
      <c r="D466" s="550"/>
      <c r="E466" s="550"/>
      <c r="F466" s="550"/>
      <c r="G466" s="550"/>
      <c r="H466" s="550"/>
      <c r="I466" s="550"/>
      <c r="J466" s="550"/>
    </row>
    <row r="467" spans="2:10" ht="15" customHeight="1">
      <c r="B467" s="550"/>
      <c r="C467" s="550"/>
      <c r="D467" s="550"/>
      <c r="E467" s="550"/>
      <c r="F467" s="550"/>
      <c r="G467" s="550"/>
      <c r="H467" s="550"/>
      <c r="I467" s="550"/>
      <c r="J467" s="550"/>
    </row>
    <row r="468" spans="2:10" ht="15" customHeight="1">
      <c r="B468" s="550"/>
      <c r="C468" s="550"/>
      <c r="D468" s="550"/>
      <c r="E468" s="550"/>
      <c r="F468" s="550"/>
      <c r="G468" s="550"/>
      <c r="H468" s="550"/>
      <c r="I468" s="550"/>
      <c r="J468" s="550"/>
    </row>
    <row r="469" spans="2:10" ht="15" customHeight="1">
      <c r="B469" s="550"/>
      <c r="C469" s="550"/>
      <c r="D469" s="550"/>
      <c r="E469" s="550"/>
      <c r="F469" s="550"/>
      <c r="G469" s="550"/>
      <c r="H469" s="550"/>
      <c r="I469" s="550"/>
      <c r="J469" s="550"/>
    </row>
    <row r="470" spans="2:10" ht="15" customHeight="1">
      <c r="B470" s="550"/>
      <c r="C470" s="550"/>
      <c r="D470" s="550"/>
      <c r="E470" s="550"/>
      <c r="F470" s="550"/>
      <c r="G470" s="550"/>
      <c r="H470" s="550"/>
      <c r="I470" s="550"/>
      <c r="J470" s="550"/>
    </row>
    <row r="471" spans="2:10" ht="15" customHeight="1">
      <c r="B471" s="550"/>
      <c r="C471" s="550"/>
      <c r="D471" s="550"/>
      <c r="E471" s="550"/>
      <c r="F471" s="550"/>
      <c r="G471" s="550"/>
      <c r="H471" s="550"/>
      <c r="I471" s="550"/>
      <c r="J471" s="550"/>
    </row>
    <row r="472" spans="2:10" ht="15" customHeight="1">
      <c r="B472" s="550"/>
      <c r="C472" s="550"/>
      <c r="D472" s="550"/>
      <c r="E472" s="550"/>
      <c r="F472" s="550"/>
      <c r="G472" s="550"/>
      <c r="H472" s="550"/>
      <c r="I472" s="550"/>
      <c r="J472" s="550"/>
    </row>
    <row r="473" spans="2:10" ht="15" customHeight="1">
      <c r="B473" s="550"/>
      <c r="C473" s="550"/>
      <c r="D473" s="550"/>
      <c r="E473" s="550"/>
      <c r="F473" s="550"/>
      <c r="G473" s="550"/>
      <c r="H473" s="550"/>
      <c r="I473" s="550"/>
      <c r="J473" s="550"/>
    </row>
    <row r="474" spans="2:10" ht="15" customHeight="1">
      <c r="B474" s="550"/>
      <c r="C474" s="550"/>
      <c r="D474" s="550"/>
      <c r="E474" s="550"/>
      <c r="F474" s="550"/>
      <c r="G474" s="550"/>
      <c r="H474" s="550"/>
      <c r="I474" s="550"/>
      <c r="J474" s="550"/>
    </row>
    <row r="475" spans="2:10" ht="15" customHeight="1">
      <c r="B475" s="550"/>
      <c r="C475" s="550"/>
      <c r="D475" s="550"/>
      <c r="E475" s="550"/>
      <c r="F475" s="550"/>
      <c r="G475" s="550"/>
      <c r="H475" s="550"/>
      <c r="I475" s="550"/>
      <c r="J475" s="550"/>
    </row>
    <row r="476" spans="2:10" ht="15" customHeight="1">
      <c r="B476" s="550"/>
      <c r="C476" s="550"/>
      <c r="D476" s="550"/>
      <c r="E476" s="550"/>
      <c r="F476" s="550"/>
      <c r="G476" s="550"/>
      <c r="H476" s="550"/>
      <c r="I476" s="550"/>
      <c r="J476" s="550"/>
    </row>
    <row r="477" spans="2:10" ht="15" customHeight="1">
      <c r="B477" s="550"/>
      <c r="C477" s="550"/>
      <c r="D477" s="550"/>
      <c r="E477" s="550"/>
      <c r="F477" s="550"/>
      <c r="G477" s="550"/>
      <c r="H477" s="550"/>
      <c r="I477" s="550"/>
      <c r="J477" s="550"/>
    </row>
    <row r="478" spans="2:10" ht="15" customHeight="1">
      <c r="B478" s="550"/>
      <c r="C478" s="550"/>
      <c r="D478" s="550"/>
      <c r="E478" s="550"/>
      <c r="F478" s="550"/>
      <c r="G478" s="550"/>
      <c r="H478" s="550"/>
      <c r="I478" s="550"/>
      <c r="J478" s="550"/>
    </row>
    <row r="479" spans="2:10" ht="15" customHeight="1">
      <c r="B479" s="550"/>
      <c r="C479" s="550"/>
      <c r="D479" s="550"/>
      <c r="E479" s="550"/>
      <c r="F479" s="550"/>
      <c r="G479" s="550"/>
      <c r="H479" s="550"/>
      <c r="I479" s="550"/>
      <c r="J479" s="550"/>
    </row>
    <row r="480" spans="2:10" ht="15" customHeight="1">
      <c r="B480" s="550"/>
      <c r="C480" s="550"/>
      <c r="D480" s="550"/>
      <c r="E480" s="550"/>
      <c r="F480" s="550"/>
      <c r="G480" s="550"/>
      <c r="H480" s="550"/>
      <c r="I480" s="550"/>
      <c r="J480" s="550"/>
    </row>
    <row r="481" spans="2:10" ht="15" customHeight="1">
      <c r="B481" s="550"/>
      <c r="C481" s="550"/>
      <c r="D481" s="550"/>
      <c r="E481" s="550"/>
      <c r="F481" s="550"/>
      <c r="G481" s="550"/>
      <c r="H481" s="550"/>
      <c r="I481" s="550"/>
      <c r="J481" s="550"/>
    </row>
    <row r="482" spans="2:10" ht="15" customHeight="1">
      <c r="B482" s="550"/>
      <c r="C482" s="550"/>
      <c r="D482" s="550"/>
      <c r="E482" s="550"/>
      <c r="F482" s="550"/>
      <c r="G482" s="550"/>
      <c r="H482" s="550"/>
      <c r="I482" s="550"/>
      <c r="J482" s="550"/>
    </row>
    <row r="483" spans="2:10" ht="15" customHeight="1">
      <c r="B483" s="550"/>
      <c r="C483" s="550"/>
      <c r="D483" s="550"/>
      <c r="E483" s="550"/>
      <c r="F483" s="550"/>
      <c r="G483" s="550"/>
      <c r="H483" s="550"/>
      <c r="I483" s="550"/>
      <c r="J483" s="550"/>
    </row>
    <row r="484" spans="2:10" ht="15" customHeight="1">
      <c r="B484" s="550"/>
      <c r="C484" s="550"/>
      <c r="D484" s="550"/>
      <c r="E484" s="550"/>
      <c r="F484" s="550"/>
      <c r="G484" s="550"/>
      <c r="H484" s="550"/>
      <c r="I484" s="550"/>
      <c r="J484" s="550"/>
    </row>
    <row r="485" spans="2:10" ht="15" customHeight="1">
      <c r="B485" s="550"/>
      <c r="C485" s="550"/>
      <c r="D485" s="550"/>
      <c r="E485" s="550"/>
      <c r="F485" s="550"/>
      <c r="G485" s="550"/>
      <c r="H485" s="550"/>
      <c r="I485" s="550"/>
      <c r="J485" s="550"/>
    </row>
    <row r="486" spans="2:10" ht="15" customHeight="1">
      <c r="B486" s="550"/>
      <c r="C486" s="550"/>
      <c r="D486" s="550"/>
      <c r="E486" s="550"/>
      <c r="F486" s="550"/>
      <c r="G486" s="550"/>
      <c r="H486" s="550"/>
      <c r="I486" s="550"/>
      <c r="J486" s="550"/>
    </row>
    <row r="487" spans="2:10" ht="15" customHeight="1">
      <c r="B487" s="550"/>
      <c r="C487" s="550"/>
      <c r="D487" s="550"/>
      <c r="E487" s="550"/>
      <c r="F487" s="550"/>
      <c r="G487" s="550"/>
      <c r="H487" s="550"/>
      <c r="I487" s="550"/>
      <c r="J487" s="550"/>
    </row>
    <row r="488" spans="2:10" ht="15" customHeight="1">
      <c r="B488" s="550"/>
      <c r="C488" s="550"/>
      <c r="D488" s="550"/>
      <c r="E488" s="550"/>
      <c r="F488" s="550"/>
      <c r="G488" s="550"/>
      <c r="H488" s="550"/>
      <c r="I488" s="550"/>
      <c r="J488" s="550"/>
    </row>
    <row r="489" spans="2:10" ht="15" customHeight="1">
      <c r="B489" s="550"/>
      <c r="C489" s="550"/>
      <c r="D489" s="550"/>
      <c r="E489" s="550"/>
      <c r="F489" s="550"/>
      <c r="G489" s="550"/>
      <c r="H489" s="550"/>
      <c r="I489" s="550"/>
      <c r="J489" s="550"/>
    </row>
    <row r="490" spans="2:10" ht="15" customHeight="1">
      <c r="B490" s="550"/>
      <c r="C490" s="550"/>
      <c r="D490" s="550"/>
      <c r="E490" s="550"/>
      <c r="F490" s="550"/>
      <c r="G490" s="550"/>
      <c r="H490" s="550"/>
      <c r="I490" s="550"/>
      <c r="J490" s="550"/>
    </row>
    <row r="491" spans="2:10" ht="15" customHeight="1">
      <c r="B491" s="550"/>
      <c r="C491" s="550"/>
      <c r="D491" s="550"/>
      <c r="E491" s="550"/>
      <c r="F491" s="550"/>
      <c r="G491" s="550"/>
      <c r="H491" s="550"/>
      <c r="I491" s="550"/>
      <c r="J491" s="550"/>
    </row>
    <row r="492" spans="2:10" ht="15" customHeight="1">
      <c r="B492" s="550"/>
      <c r="C492" s="550"/>
      <c r="D492" s="550"/>
      <c r="E492" s="550"/>
      <c r="F492" s="550"/>
      <c r="G492" s="550"/>
      <c r="H492" s="550"/>
      <c r="I492" s="550"/>
      <c r="J492" s="550"/>
    </row>
    <row r="493" spans="2:10" ht="15" customHeight="1">
      <c r="B493" s="550"/>
      <c r="C493" s="550"/>
      <c r="D493" s="550"/>
      <c r="E493" s="550"/>
      <c r="F493" s="550"/>
      <c r="G493" s="550"/>
      <c r="H493" s="550"/>
      <c r="I493" s="550"/>
      <c r="J493" s="550"/>
    </row>
    <row r="494" spans="2:10" ht="15" customHeight="1">
      <c r="B494" s="550"/>
      <c r="C494" s="550"/>
      <c r="D494" s="550"/>
      <c r="E494" s="550"/>
      <c r="F494" s="550"/>
      <c r="G494" s="550"/>
      <c r="H494" s="550"/>
      <c r="I494" s="550"/>
      <c r="J494" s="550"/>
    </row>
    <row r="495" spans="2:10" ht="15" customHeight="1">
      <c r="B495" s="550"/>
      <c r="C495" s="550"/>
      <c r="D495" s="550"/>
      <c r="E495" s="550"/>
      <c r="F495" s="550"/>
      <c r="G495" s="550"/>
      <c r="H495" s="550"/>
      <c r="I495" s="550"/>
      <c r="J495" s="550"/>
    </row>
    <row r="496" spans="2:10" ht="15" customHeight="1">
      <c r="B496" s="550"/>
      <c r="C496" s="550"/>
      <c r="D496" s="550"/>
      <c r="E496" s="550"/>
      <c r="F496" s="550"/>
      <c r="G496" s="550"/>
      <c r="H496" s="550"/>
      <c r="I496" s="550"/>
      <c r="J496" s="550"/>
    </row>
    <row r="497" spans="2:10" ht="15" customHeight="1">
      <c r="B497" s="550"/>
      <c r="C497" s="550"/>
      <c r="D497" s="550"/>
      <c r="E497" s="550"/>
      <c r="F497" s="550"/>
      <c r="G497" s="550"/>
      <c r="H497" s="550"/>
      <c r="I497" s="550"/>
      <c r="J497" s="550"/>
    </row>
    <row r="498" spans="2:10" ht="15" customHeight="1">
      <c r="B498" s="550"/>
      <c r="C498" s="550"/>
      <c r="D498" s="550"/>
      <c r="E498" s="550"/>
      <c r="F498" s="550"/>
      <c r="G498" s="550"/>
      <c r="H498" s="550"/>
      <c r="I498" s="550"/>
      <c r="J498" s="550"/>
    </row>
    <row r="499" spans="2:10" ht="15" customHeight="1">
      <c r="B499" s="550"/>
      <c r="C499" s="550"/>
      <c r="D499" s="550"/>
      <c r="E499" s="550"/>
      <c r="F499" s="550"/>
      <c r="G499" s="550"/>
      <c r="H499" s="550"/>
      <c r="I499" s="550"/>
      <c r="J499" s="550"/>
    </row>
    <row r="500" spans="2:10" ht="15" customHeight="1">
      <c r="B500" s="550"/>
      <c r="C500" s="550"/>
      <c r="D500" s="550"/>
      <c r="E500" s="550"/>
      <c r="F500" s="550"/>
      <c r="G500" s="550"/>
      <c r="H500" s="550"/>
      <c r="I500" s="550"/>
      <c r="J500" s="550"/>
    </row>
    <row r="501" spans="2:10" ht="15" customHeight="1">
      <c r="B501" s="550"/>
      <c r="C501" s="550"/>
      <c r="D501" s="550"/>
      <c r="E501" s="550"/>
      <c r="F501" s="550"/>
      <c r="G501" s="550"/>
      <c r="H501" s="550"/>
      <c r="I501" s="550"/>
      <c r="J501" s="550"/>
    </row>
    <row r="502" spans="2:10" ht="15" customHeight="1">
      <c r="B502" s="550"/>
      <c r="C502" s="550"/>
      <c r="D502" s="550"/>
      <c r="E502" s="550"/>
      <c r="F502" s="550"/>
      <c r="G502" s="550"/>
      <c r="H502" s="550"/>
      <c r="I502" s="550"/>
      <c r="J502" s="550"/>
    </row>
    <row r="503" spans="2:10" ht="15" customHeight="1">
      <c r="B503" s="550"/>
      <c r="C503" s="550"/>
      <c r="D503" s="550"/>
      <c r="E503" s="550"/>
      <c r="F503" s="550"/>
      <c r="G503" s="550"/>
      <c r="H503" s="550"/>
      <c r="I503" s="550"/>
      <c r="J503" s="550"/>
    </row>
    <row r="504" spans="2:10" ht="15" customHeight="1">
      <c r="B504" s="550"/>
      <c r="C504" s="550"/>
      <c r="D504" s="550"/>
      <c r="E504" s="550"/>
      <c r="F504" s="550"/>
      <c r="G504" s="550"/>
      <c r="H504" s="550"/>
      <c r="I504" s="550"/>
      <c r="J504" s="550"/>
    </row>
    <row r="505" spans="2:10" ht="15" customHeight="1">
      <c r="B505" s="550"/>
      <c r="C505" s="550"/>
      <c r="D505" s="550"/>
      <c r="E505" s="550"/>
      <c r="F505" s="550"/>
      <c r="G505" s="550"/>
      <c r="H505" s="550"/>
      <c r="I505" s="550"/>
      <c r="J505" s="550"/>
    </row>
    <row r="506" spans="2:10" ht="15" customHeight="1">
      <c r="B506" s="550"/>
      <c r="C506" s="550"/>
      <c r="D506" s="550"/>
      <c r="E506" s="550"/>
      <c r="F506" s="550"/>
      <c r="G506" s="550"/>
      <c r="H506" s="550"/>
      <c r="I506" s="550"/>
      <c r="J506" s="550"/>
    </row>
    <row r="507" spans="2:10" ht="15" customHeight="1">
      <c r="B507" s="550"/>
      <c r="C507" s="550"/>
      <c r="D507" s="550"/>
      <c r="E507" s="550"/>
      <c r="F507" s="550"/>
      <c r="G507" s="550"/>
      <c r="H507" s="550"/>
      <c r="I507" s="550"/>
      <c r="J507" s="550"/>
    </row>
    <row r="508" spans="2:10" ht="15" customHeight="1">
      <c r="B508" s="550"/>
      <c r="C508" s="550"/>
      <c r="D508" s="550"/>
      <c r="E508" s="550"/>
      <c r="F508" s="550"/>
      <c r="G508" s="550"/>
      <c r="H508" s="550"/>
      <c r="I508" s="550"/>
      <c r="J508" s="550"/>
    </row>
    <row r="509" spans="2:10" ht="15" customHeight="1">
      <c r="B509" s="550"/>
      <c r="C509" s="550"/>
      <c r="D509" s="550"/>
      <c r="E509" s="550"/>
      <c r="F509" s="550"/>
      <c r="G509" s="550"/>
      <c r="H509" s="550"/>
      <c r="I509" s="550"/>
      <c r="J509" s="550"/>
    </row>
    <row r="510" spans="2:10" ht="15" customHeight="1">
      <c r="B510" s="550"/>
      <c r="C510" s="550"/>
      <c r="D510" s="550"/>
      <c r="E510" s="550"/>
      <c r="F510" s="550"/>
      <c r="G510" s="550"/>
      <c r="H510" s="550"/>
      <c r="I510" s="550"/>
      <c r="J510" s="550"/>
    </row>
    <row r="511" spans="2:10" ht="15" customHeight="1">
      <c r="B511" s="550"/>
      <c r="C511" s="550"/>
      <c r="D511" s="550"/>
      <c r="E511" s="550"/>
      <c r="F511" s="550"/>
      <c r="G511" s="550"/>
      <c r="H511" s="550"/>
      <c r="I511" s="550"/>
      <c r="J511" s="550"/>
    </row>
    <row r="512" spans="2:10" ht="15" customHeight="1">
      <c r="B512" s="550"/>
      <c r="C512" s="550"/>
      <c r="D512" s="550"/>
      <c r="E512" s="550"/>
      <c r="F512" s="550"/>
      <c r="G512" s="550"/>
      <c r="H512" s="550"/>
      <c r="I512" s="550"/>
      <c r="J512" s="550"/>
    </row>
    <row r="513" spans="2:10" ht="15" customHeight="1">
      <c r="B513" s="550"/>
      <c r="C513" s="550"/>
      <c r="D513" s="550"/>
      <c r="E513" s="550"/>
      <c r="F513" s="550"/>
      <c r="G513" s="550"/>
      <c r="H513" s="550"/>
      <c r="I513" s="550"/>
      <c r="J513" s="550"/>
    </row>
    <row r="514" spans="2:10" ht="15" customHeight="1">
      <c r="B514" s="550"/>
      <c r="C514" s="550"/>
      <c r="D514" s="550"/>
      <c r="E514" s="550"/>
      <c r="F514" s="550"/>
      <c r="G514" s="550"/>
      <c r="H514" s="550"/>
      <c r="I514" s="550"/>
      <c r="J514" s="550"/>
    </row>
    <row r="515" spans="2:10" ht="15" customHeight="1">
      <c r="B515" s="550"/>
      <c r="C515" s="550"/>
      <c r="D515" s="550"/>
      <c r="E515" s="550"/>
      <c r="F515" s="550"/>
      <c r="G515" s="550"/>
      <c r="H515" s="550"/>
      <c r="I515" s="550"/>
      <c r="J515" s="550"/>
    </row>
    <row r="516" spans="2:10" ht="15" customHeight="1">
      <c r="B516" s="550"/>
      <c r="C516" s="550"/>
      <c r="D516" s="550"/>
      <c r="E516" s="550"/>
      <c r="F516" s="550"/>
      <c r="G516" s="550"/>
      <c r="H516" s="550"/>
      <c r="I516" s="550"/>
      <c r="J516" s="550"/>
    </row>
    <row r="517" spans="2:10" ht="15" customHeight="1">
      <c r="B517" s="550"/>
      <c r="C517" s="550"/>
      <c r="D517" s="550"/>
      <c r="E517" s="550"/>
      <c r="F517" s="550"/>
      <c r="G517" s="550"/>
      <c r="H517" s="550"/>
      <c r="I517" s="550"/>
      <c r="J517" s="550"/>
    </row>
    <row r="518" spans="2:10" ht="15" customHeight="1">
      <c r="B518" s="550"/>
      <c r="C518" s="550"/>
      <c r="D518" s="550"/>
      <c r="E518" s="550"/>
      <c r="F518" s="550"/>
      <c r="G518" s="550"/>
      <c r="H518" s="550"/>
      <c r="I518" s="550"/>
      <c r="J518" s="550"/>
    </row>
    <row r="519" spans="2:10" ht="15" customHeight="1">
      <c r="B519" s="550"/>
      <c r="C519" s="550"/>
      <c r="D519" s="550"/>
      <c r="E519" s="550"/>
      <c r="F519" s="550"/>
      <c r="G519" s="550"/>
      <c r="H519" s="550"/>
      <c r="I519" s="550"/>
      <c r="J519" s="550"/>
    </row>
    <row r="520" spans="2:10" ht="15" customHeight="1">
      <c r="B520" s="550"/>
      <c r="C520" s="550"/>
      <c r="D520" s="550"/>
      <c r="E520" s="550"/>
      <c r="F520" s="550"/>
      <c r="G520" s="550"/>
      <c r="H520" s="550"/>
      <c r="I520" s="550"/>
      <c r="J520" s="550"/>
    </row>
    <row r="521" spans="2:10" ht="15" customHeight="1">
      <c r="B521" s="550"/>
      <c r="C521" s="550"/>
      <c r="D521" s="550"/>
      <c r="E521" s="550"/>
      <c r="F521" s="550"/>
      <c r="G521" s="550"/>
      <c r="H521" s="550"/>
      <c r="I521" s="550"/>
      <c r="J521" s="550"/>
    </row>
    <row r="522" spans="2:10" ht="15" customHeight="1">
      <c r="B522" s="550"/>
      <c r="C522" s="550"/>
      <c r="D522" s="550"/>
      <c r="E522" s="550"/>
      <c r="F522" s="550"/>
      <c r="G522" s="550"/>
      <c r="H522" s="550"/>
      <c r="I522" s="550"/>
      <c r="J522" s="550"/>
    </row>
    <row r="523" spans="2:10" ht="15" customHeight="1">
      <c r="B523" s="550"/>
      <c r="C523" s="550"/>
      <c r="D523" s="550"/>
      <c r="E523" s="550"/>
      <c r="F523" s="550"/>
      <c r="G523" s="550"/>
      <c r="H523" s="550"/>
      <c r="I523" s="550"/>
      <c r="J523" s="550"/>
    </row>
    <row r="524" spans="2:10" ht="15" customHeight="1">
      <c r="B524" s="550"/>
      <c r="C524" s="550"/>
      <c r="D524" s="550"/>
      <c r="E524" s="550"/>
      <c r="F524" s="550"/>
      <c r="G524" s="550"/>
      <c r="H524" s="550"/>
      <c r="I524" s="550"/>
      <c r="J524" s="550"/>
    </row>
    <row r="525" spans="2:10" ht="15" customHeight="1">
      <c r="B525" s="550"/>
      <c r="C525" s="550"/>
      <c r="D525" s="550"/>
      <c r="E525" s="550"/>
      <c r="F525" s="550"/>
      <c r="G525" s="550"/>
      <c r="H525" s="550"/>
      <c r="I525" s="550"/>
      <c r="J525" s="550"/>
    </row>
    <row r="526" spans="2:10" ht="15" customHeight="1">
      <c r="B526" s="550"/>
      <c r="C526" s="550"/>
      <c r="D526" s="550"/>
      <c r="E526" s="550"/>
      <c r="F526" s="550"/>
      <c r="G526" s="550"/>
      <c r="H526" s="550"/>
      <c r="I526" s="550"/>
      <c r="J526" s="550"/>
    </row>
    <row r="527" spans="2:10" ht="15" customHeight="1">
      <c r="B527" s="550"/>
      <c r="C527" s="550"/>
      <c r="D527" s="550"/>
      <c r="E527" s="550"/>
      <c r="F527" s="550"/>
      <c r="G527" s="550"/>
      <c r="H527" s="550"/>
      <c r="I527" s="550"/>
      <c r="J527" s="550"/>
    </row>
    <row r="528" spans="2:10" ht="15" customHeight="1">
      <c r="B528" s="550"/>
      <c r="C528" s="550"/>
      <c r="D528" s="550"/>
      <c r="E528" s="550"/>
      <c r="F528" s="550"/>
      <c r="G528" s="550"/>
      <c r="H528" s="550"/>
      <c r="I528" s="550"/>
      <c r="J528" s="550"/>
    </row>
    <row r="529" spans="2:10" ht="15" customHeight="1">
      <c r="B529" s="550"/>
      <c r="C529" s="550"/>
      <c r="D529" s="550"/>
      <c r="E529" s="550"/>
      <c r="F529" s="550"/>
      <c r="G529" s="550"/>
      <c r="H529" s="550"/>
      <c r="I529" s="550"/>
      <c r="J529" s="550"/>
    </row>
    <row r="530" spans="2:10" ht="15" customHeight="1">
      <c r="B530" s="550"/>
      <c r="C530" s="550"/>
      <c r="D530" s="550"/>
      <c r="E530" s="550"/>
      <c r="F530" s="550"/>
      <c r="G530" s="550"/>
      <c r="H530" s="550"/>
      <c r="I530" s="550"/>
      <c r="J530" s="550"/>
    </row>
    <row r="531" spans="2:10" ht="15" customHeight="1">
      <c r="B531" s="550"/>
      <c r="C531" s="550"/>
      <c r="D531" s="550"/>
      <c r="E531" s="550"/>
      <c r="F531" s="550"/>
      <c r="G531" s="550"/>
      <c r="H531" s="550"/>
      <c r="I531" s="550"/>
      <c r="J531" s="550"/>
    </row>
    <row r="532" spans="2:10" ht="15" customHeight="1">
      <c r="B532" s="550"/>
      <c r="C532" s="550"/>
      <c r="D532" s="550"/>
      <c r="E532" s="550"/>
      <c r="F532" s="550"/>
      <c r="G532" s="550"/>
      <c r="H532" s="550"/>
      <c r="I532" s="550"/>
      <c r="J532" s="550"/>
    </row>
    <row r="533" spans="2:10" ht="15" customHeight="1">
      <c r="B533" s="550"/>
      <c r="C533" s="550"/>
      <c r="D533" s="550"/>
      <c r="E533" s="550"/>
      <c r="F533" s="550"/>
      <c r="G533" s="550"/>
      <c r="H533" s="550"/>
      <c r="I533" s="550"/>
      <c r="J533" s="550"/>
    </row>
    <row r="534" spans="2:10" ht="15" customHeight="1">
      <c r="B534" s="550"/>
      <c r="C534" s="550"/>
      <c r="D534" s="550"/>
      <c r="E534" s="550"/>
      <c r="F534" s="550"/>
      <c r="G534" s="550"/>
      <c r="H534" s="550"/>
      <c r="I534" s="550"/>
      <c r="J534" s="550"/>
    </row>
    <row r="535" spans="2:10" ht="15" customHeight="1">
      <c r="B535" s="550"/>
      <c r="C535" s="550"/>
      <c r="D535" s="550"/>
      <c r="E535" s="550"/>
      <c r="F535" s="550"/>
      <c r="G535" s="550"/>
      <c r="H535" s="550"/>
      <c r="I535" s="550"/>
      <c r="J535" s="550"/>
    </row>
    <row r="536" spans="2:10" ht="15" customHeight="1">
      <c r="B536" s="550"/>
      <c r="C536" s="550"/>
      <c r="D536" s="550"/>
      <c r="E536" s="550"/>
      <c r="F536" s="550"/>
      <c r="G536" s="550"/>
      <c r="H536" s="550"/>
      <c r="I536" s="550"/>
      <c r="J536" s="550"/>
    </row>
    <row r="537" spans="2:10" ht="15" customHeight="1">
      <c r="B537" s="550"/>
      <c r="C537" s="550"/>
      <c r="D537" s="550"/>
      <c r="E537" s="550"/>
      <c r="F537" s="550"/>
      <c r="G537" s="550"/>
      <c r="H537" s="550"/>
      <c r="I537" s="550"/>
      <c r="J537" s="550"/>
    </row>
    <row r="538" spans="2:10" ht="15" customHeight="1">
      <c r="B538" s="550"/>
      <c r="C538" s="550"/>
      <c r="D538" s="550"/>
      <c r="E538" s="550"/>
      <c r="F538" s="550"/>
      <c r="G538" s="550"/>
      <c r="H538" s="550"/>
      <c r="I538" s="550"/>
      <c r="J538" s="550"/>
    </row>
    <row r="539" spans="2:10" ht="15" customHeight="1">
      <c r="B539" s="550"/>
      <c r="C539" s="550"/>
      <c r="D539" s="550"/>
      <c r="E539" s="550"/>
      <c r="F539" s="550"/>
      <c r="G539" s="550"/>
      <c r="H539" s="550"/>
      <c r="I539" s="550"/>
      <c r="J539" s="550"/>
    </row>
    <row r="540" spans="2:10" ht="15" customHeight="1">
      <c r="B540" s="550"/>
      <c r="C540" s="550"/>
      <c r="D540" s="550"/>
      <c r="E540" s="550"/>
      <c r="F540" s="550"/>
      <c r="G540" s="550"/>
      <c r="H540" s="550"/>
      <c r="I540" s="550"/>
      <c r="J540" s="550"/>
    </row>
    <row r="541" spans="2:10" ht="15" customHeight="1">
      <c r="B541" s="550"/>
      <c r="C541" s="550"/>
      <c r="D541" s="550"/>
      <c r="E541" s="550"/>
      <c r="F541" s="550"/>
      <c r="G541" s="550"/>
      <c r="H541" s="550"/>
      <c r="I541" s="550"/>
      <c r="J541" s="550"/>
    </row>
    <row r="542" spans="2:10" ht="15" customHeight="1">
      <c r="B542" s="550"/>
      <c r="C542" s="550"/>
      <c r="D542" s="550"/>
      <c r="E542" s="550"/>
      <c r="F542" s="550"/>
      <c r="G542" s="550"/>
      <c r="H542" s="550"/>
      <c r="I542" s="550"/>
      <c r="J542" s="550"/>
    </row>
    <row r="543" spans="2:10" ht="15" customHeight="1">
      <c r="B543" s="550"/>
      <c r="C543" s="550"/>
      <c r="D543" s="550"/>
      <c r="E543" s="550"/>
      <c r="F543" s="550"/>
      <c r="G543" s="550"/>
      <c r="H543" s="550"/>
      <c r="I543" s="550"/>
      <c r="J543" s="550"/>
    </row>
    <row r="544" spans="2:10" ht="15" customHeight="1">
      <c r="B544" s="550"/>
      <c r="C544" s="550"/>
      <c r="D544" s="550"/>
      <c r="E544" s="550"/>
      <c r="F544" s="550"/>
      <c r="G544" s="550"/>
      <c r="H544" s="550"/>
      <c r="I544" s="550"/>
      <c r="J544" s="550"/>
    </row>
    <row r="545" spans="2:10" ht="15" customHeight="1">
      <c r="B545" s="550"/>
      <c r="C545" s="550"/>
      <c r="D545" s="550"/>
      <c r="E545" s="550"/>
      <c r="F545" s="550"/>
      <c r="G545" s="550"/>
      <c r="H545" s="550"/>
      <c r="I545" s="550"/>
      <c r="J545" s="550"/>
    </row>
    <row r="546" spans="2:10" ht="15" customHeight="1">
      <c r="B546" s="550"/>
      <c r="C546" s="550"/>
      <c r="D546" s="550"/>
      <c r="E546" s="550"/>
      <c r="F546" s="550"/>
      <c r="G546" s="550"/>
      <c r="H546" s="550"/>
      <c r="I546" s="550"/>
      <c r="J546" s="550"/>
    </row>
    <row r="547" spans="2:10" ht="15" customHeight="1">
      <c r="B547" s="550"/>
      <c r="C547" s="550"/>
      <c r="D547" s="550"/>
      <c r="E547" s="550"/>
      <c r="F547" s="550"/>
      <c r="G547" s="550"/>
      <c r="H547" s="550"/>
      <c r="I547" s="550"/>
      <c r="J547" s="550"/>
    </row>
    <row r="548" spans="2:10" ht="15" customHeight="1">
      <c r="B548" s="550"/>
      <c r="C548" s="550"/>
      <c r="D548" s="550"/>
      <c r="E548" s="550"/>
      <c r="F548" s="550"/>
      <c r="G548" s="550"/>
      <c r="H548" s="550"/>
      <c r="I548" s="550"/>
      <c r="J548" s="550"/>
    </row>
    <row r="549" spans="2:10" ht="15" customHeight="1">
      <c r="B549" s="550"/>
      <c r="C549" s="550"/>
      <c r="D549" s="550"/>
      <c r="E549" s="550"/>
      <c r="F549" s="550"/>
      <c r="G549" s="550"/>
      <c r="H549" s="550"/>
      <c r="I549" s="550"/>
      <c r="J549" s="550"/>
    </row>
    <row r="550" spans="2:10" ht="15" customHeight="1">
      <c r="B550" s="550"/>
      <c r="C550" s="550"/>
      <c r="D550" s="550"/>
      <c r="E550" s="550"/>
      <c r="F550" s="550"/>
      <c r="G550" s="550"/>
      <c r="H550" s="550"/>
      <c r="I550" s="550"/>
      <c r="J550" s="550"/>
    </row>
    <row r="551" spans="2:10" ht="15" customHeight="1">
      <c r="B551" s="550"/>
      <c r="C551" s="550"/>
      <c r="D551" s="550"/>
      <c r="E551" s="550"/>
      <c r="F551" s="550"/>
      <c r="G551" s="550"/>
      <c r="H551" s="550"/>
      <c r="I551" s="550"/>
      <c r="J551" s="550"/>
    </row>
    <row r="552" spans="2:10" ht="15" customHeight="1">
      <c r="B552" s="550"/>
      <c r="C552" s="550"/>
      <c r="D552" s="550"/>
      <c r="E552" s="550"/>
      <c r="F552" s="550"/>
      <c r="G552" s="550"/>
      <c r="H552" s="550"/>
      <c r="I552" s="550"/>
      <c r="J552" s="550"/>
    </row>
    <row r="553" spans="2:10" ht="15" customHeight="1">
      <c r="B553" s="550"/>
      <c r="C553" s="550"/>
      <c r="D553" s="550"/>
      <c r="E553" s="550"/>
      <c r="F553" s="550"/>
      <c r="G553" s="550"/>
      <c r="H553" s="550"/>
      <c r="I553" s="550"/>
      <c r="J553" s="550"/>
    </row>
    <row r="554" spans="2:10" ht="15" customHeight="1">
      <c r="B554" s="550"/>
      <c r="C554" s="550"/>
      <c r="D554" s="550"/>
      <c r="E554" s="550"/>
      <c r="F554" s="550"/>
      <c r="G554" s="550"/>
      <c r="H554" s="550"/>
      <c r="I554" s="550"/>
      <c r="J554" s="550"/>
    </row>
    <row r="555" spans="2:10" ht="15" customHeight="1">
      <c r="B555" s="550"/>
      <c r="C555" s="550"/>
      <c r="D555" s="550"/>
      <c r="E555" s="550"/>
      <c r="F555" s="550"/>
      <c r="G555" s="550"/>
      <c r="H555" s="550"/>
      <c r="I555" s="550"/>
      <c r="J555" s="550"/>
    </row>
    <row r="556" spans="2:10" ht="15" customHeight="1">
      <c r="B556" s="550"/>
      <c r="C556" s="550"/>
      <c r="D556" s="550"/>
      <c r="E556" s="550"/>
      <c r="F556" s="550"/>
      <c r="G556" s="550"/>
      <c r="H556" s="550"/>
      <c r="I556" s="550"/>
      <c r="J556" s="550"/>
    </row>
    <row r="557" spans="2:10" ht="15" customHeight="1">
      <c r="B557" s="550"/>
      <c r="C557" s="550"/>
      <c r="D557" s="550"/>
      <c r="E557" s="550"/>
      <c r="F557" s="550"/>
      <c r="G557" s="550"/>
      <c r="H557" s="550"/>
      <c r="I557" s="550"/>
      <c r="J557" s="550"/>
    </row>
    <row r="558" spans="2:10" ht="15" customHeight="1">
      <c r="B558" s="550"/>
      <c r="C558" s="550"/>
      <c r="D558" s="550"/>
      <c r="E558" s="550"/>
      <c r="F558" s="550"/>
      <c r="G558" s="550"/>
      <c r="H558" s="550"/>
      <c r="I558" s="550"/>
      <c r="J558" s="550"/>
    </row>
    <row r="559" spans="2:10" ht="15" customHeight="1">
      <c r="B559" s="550"/>
      <c r="C559" s="550"/>
      <c r="D559" s="550"/>
      <c r="E559" s="550"/>
      <c r="F559" s="550"/>
      <c r="G559" s="550"/>
      <c r="H559" s="550"/>
      <c r="I559" s="550"/>
      <c r="J559" s="550"/>
    </row>
    <row r="560" spans="2:10" ht="15" customHeight="1">
      <c r="B560" s="550"/>
      <c r="C560" s="550"/>
      <c r="D560" s="550"/>
      <c r="E560" s="550"/>
      <c r="F560" s="550"/>
      <c r="G560" s="550"/>
      <c r="H560" s="550"/>
      <c r="I560" s="550"/>
      <c r="J560" s="550"/>
    </row>
    <row r="561" spans="2:10" ht="15" customHeight="1">
      <c r="B561" s="550"/>
      <c r="C561" s="550"/>
      <c r="D561" s="550"/>
      <c r="E561" s="550"/>
      <c r="F561" s="550"/>
      <c r="G561" s="550"/>
      <c r="H561" s="550"/>
      <c r="I561" s="550"/>
      <c r="J561" s="550"/>
    </row>
    <row r="562" spans="2:10" ht="15" customHeight="1">
      <c r="B562" s="550"/>
      <c r="C562" s="550"/>
      <c r="D562" s="550"/>
      <c r="E562" s="550"/>
      <c r="F562" s="550"/>
      <c r="G562" s="550"/>
      <c r="H562" s="550"/>
      <c r="I562" s="550"/>
      <c r="J562" s="550"/>
    </row>
    <row r="563" spans="2:10" ht="15" customHeight="1">
      <c r="B563" s="550"/>
      <c r="C563" s="550"/>
      <c r="D563" s="550"/>
      <c r="E563" s="550"/>
      <c r="F563" s="550"/>
      <c r="G563" s="550"/>
      <c r="H563" s="550"/>
      <c r="I563" s="550"/>
      <c r="J563" s="550"/>
    </row>
    <row r="564" spans="2:10" ht="15" customHeight="1">
      <c r="B564" s="550"/>
      <c r="C564" s="550"/>
      <c r="D564" s="550"/>
      <c r="E564" s="550"/>
      <c r="F564" s="550"/>
      <c r="G564" s="550"/>
      <c r="H564" s="550"/>
      <c r="I564" s="550"/>
      <c r="J564" s="550"/>
    </row>
    <row r="565" spans="2:10" ht="15" customHeight="1">
      <c r="B565" s="550"/>
      <c r="C565" s="550"/>
      <c r="D565" s="550"/>
      <c r="E565" s="550"/>
      <c r="F565" s="550"/>
      <c r="G565" s="550"/>
      <c r="H565" s="550"/>
      <c r="I565" s="550"/>
      <c r="J565" s="550"/>
    </row>
    <row r="566" spans="2:10" ht="15" customHeight="1">
      <c r="B566" s="550"/>
      <c r="C566" s="550"/>
      <c r="D566" s="550"/>
      <c r="E566" s="550"/>
      <c r="F566" s="550"/>
      <c r="G566" s="550"/>
      <c r="H566" s="550"/>
      <c r="I566" s="550"/>
      <c r="J566" s="550"/>
    </row>
    <row r="567" spans="2:10" ht="15" customHeight="1">
      <c r="B567" s="550"/>
      <c r="C567" s="550"/>
      <c r="D567" s="550"/>
      <c r="E567" s="550"/>
      <c r="F567" s="550"/>
      <c r="G567" s="550"/>
      <c r="H567" s="550"/>
      <c r="I567" s="550"/>
      <c r="J567" s="550"/>
    </row>
    <row r="568" spans="2:10" ht="15" customHeight="1">
      <c r="B568" s="550"/>
      <c r="C568" s="550"/>
      <c r="D568" s="550"/>
      <c r="E568" s="550"/>
      <c r="F568" s="550"/>
      <c r="G568" s="550"/>
      <c r="H568" s="550"/>
      <c r="I568" s="550"/>
      <c r="J568" s="550"/>
    </row>
    <row r="569" spans="2:10" ht="15" customHeight="1">
      <c r="B569" s="550"/>
      <c r="C569" s="550"/>
      <c r="D569" s="550"/>
      <c r="E569" s="550"/>
      <c r="F569" s="550"/>
      <c r="G569" s="550"/>
      <c r="H569" s="550"/>
      <c r="I569" s="550"/>
      <c r="J569" s="550"/>
    </row>
    <row r="570" spans="2:10" ht="15" customHeight="1">
      <c r="B570" s="550"/>
      <c r="C570" s="550"/>
      <c r="D570" s="550"/>
      <c r="E570" s="550"/>
      <c r="F570" s="550"/>
      <c r="G570" s="550"/>
      <c r="H570" s="550"/>
      <c r="I570" s="550"/>
      <c r="J570" s="550"/>
    </row>
    <row r="571" spans="2:10" ht="15" customHeight="1">
      <c r="B571" s="550"/>
      <c r="C571" s="550"/>
      <c r="D571" s="550"/>
      <c r="E571" s="550"/>
      <c r="F571" s="550"/>
      <c r="G571" s="550"/>
      <c r="H571" s="550"/>
      <c r="I571" s="550"/>
      <c r="J571" s="550"/>
    </row>
    <row r="572" spans="2:10" ht="15" customHeight="1">
      <c r="B572" s="550"/>
      <c r="C572" s="550"/>
      <c r="D572" s="550"/>
      <c r="E572" s="550"/>
      <c r="F572" s="550"/>
      <c r="G572" s="550"/>
      <c r="H572" s="550"/>
      <c r="I572" s="550"/>
      <c r="J572" s="550"/>
    </row>
    <row r="573" spans="2:10" ht="15" customHeight="1">
      <c r="B573" s="550"/>
      <c r="C573" s="550"/>
      <c r="D573" s="550"/>
      <c r="E573" s="550"/>
      <c r="F573" s="550"/>
      <c r="G573" s="550"/>
      <c r="H573" s="550"/>
      <c r="I573" s="550"/>
      <c r="J573" s="550"/>
    </row>
    <row r="574" spans="2:10" ht="15" customHeight="1">
      <c r="B574" s="550"/>
      <c r="C574" s="550"/>
      <c r="D574" s="550"/>
      <c r="E574" s="550"/>
      <c r="F574" s="550"/>
      <c r="G574" s="550"/>
      <c r="H574" s="550"/>
      <c r="I574" s="550"/>
      <c r="J574" s="550"/>
    </row>
    <row r="575" spans="2:10" ht="15" customHeight="1">
      <c r="B575" s="550"/>
      <c r="C575" s="550"/>
      <c r="D575" s="550"/>
      <c r="E575" s="550"/>
      <c r="F575" s="550"/>
      <c r="G575" s="550"/>
      <c r="H575" s="550"/>
      <c r="I575" s="550"/>
      <c r="J575" s="550"/>
    </row>
    <row r="576" spans="2:10" ht="15" customHeight="1">
      <c r="B576" s="550"/>
      <c r="C576" s="550"/>
      <c r="D576" s="550"/>
      <c r="E576" s="550"/>
      <c r="F576" s="550"/>
      <c r="G576" s="550"/>
      <c r="H576" s="550"/>
      <c r="I576" s="550"/>
      <c r="J576" s="550"/>
    </row>
    <row r="577" spans="2:10" ht="15" customHeight="1">
      <c r="B577" s="550"/>
      <c r="C577" s="550"/>
      <c r="D577" s="550"/>
      <c r="E577" s="550"/>
      <c r="F577" s="550"/>
      <c r="G577" s="550"/>
      <c r="H577" s="550"/>
      <c r="I577" s="550"/>
      <c r="J577" s="550"/>
    </row>
    <row r="578" spans="2:10" ht="15" customHeight="1">
      <c r="B578" s="550"/>
      <c r="C578" s="550"/>
      <c r="D578" s="550"/>
      <c r="E578" s="550"/>
      <c r="F578" s="550"/>
      <c r="G578" s="550"/>
      <c r="H578" s="550"/>
      <c r="I578" s="550"/>
      <c r="J578" s="550"/>
    </row>
    <row r="579" spans="2:10" ht="15" customHeight="1">
      <c r="B579" s="550"/>
      <c r="C579" s="550"/>
      <c r="D579" s="550"/>
      <c r="E579" s="550"/>
      <c r="F579" s="550"/>
      <c r="G579" s="550"/>
      <c r="H579" s="550"/>
      <c r="I579" s="550"/>
      <c r="J579" s="550"/>
    </row>
    <row r="580" spans="2:10" ht="15" customHeight="1">
      <c r="B580" s="550"/>
      <c r="C580" s="550"/>
      <c r="D580" s="550"/>
      <c r="E580" s="550"/>
      <c r="F580" s="550"/>
      <c r="G580" s="550"/>
      <c r="H580" s="550"/>
      <c r="I580" s="550"/>
      <c r="J580" s="550"/>
    </row>
    <row r="581" spans="2:10" ht="15" customHeight="1">
      <c r="B581" s="550"/>
      <c r="C581" s="550"/>
      <c r="D581" s="550"/>
      <c r="E581" s="550"/>
      <c r="F581" s="550"/>
      <c r="G581" s="550"/>
      <c r="H581" s="550"/>
      <c r="I581" s="550"/>
      <c r="J581" s="550"/>
    </row>
    <row r="582" spans="2:10" ht="15" customHeight="1">
      <c r="B582" s="550"/>
      <c r="C582" s="550"/>
      <c r="D582" s="550"/>
      <c r="E582" s="550"/>
      <c r="F582" s="550"/>
      <c r="G582" s="550"/>
      <c r="H582" s="550"/>
      <c r="I582" s="550"/>
      <c r="J582" s="550"/>
    </row>
    <row r="583" spans="2:10" ht="15" customHeight="1">
      <c r="B583" s="550"/>
      <c r="C583" s="550"/>
      <c r="D583" s="550"/>
      <c r="E583" s="550"/>
      <c r="F583" s="550"/>
      <c r="G583" s="550"/>
      <c r="H583" s="550"/>
      <c r="I583" s="550"/>
      <c r="J583" s="550"/>
    </row>
    <row r="584" spans="2:10" ht="15" customHeight="1">
      <c r="B584" s="550"/>
      <c r="C584" s="550"/>
      <c r="D584" s="550"/>
      <c r="E584" s="550"/>
      <c r="F584" s="550"/>
      <c r="G584" s="550"/>
      <c r="H584" s="550"/>
      <c r="I584" s="550"/>
      <c r="J584" s="550"/>
    </row>
    <row r="585" spans="2:10" ht="15" customHeight="1">
      <c r="B585" s="550"/>
      <c r="C585" s="550"/>
      <c r="D585" s="550"/>
      <c r="E585" s="550"/>
      <c r="F585" s="550"/>
      <c r="G585" s="550"/>
      <c r="H585" s="550"/>
      <c r="I585" s="550"/>
      <c r="J585" s="550"/>
    </row>
    <row r="586" spans="2:10" ht="15" customHeight="1">
      <c r="B586" s="550"/>
      <c r="C586" s="550"/>
      <c r="D586" s="550"/>
      <c r="E586" s="550"/>
      <c r="F586" s="550"/>
      <c r="G586" s="550"/>
      <c r="H586" s="550"/>
      <c r="I586" s="550"/>
      <c r="J586" s="550"/>
    </row>
    <row r="587" spans="2:10" ht="15" customHeight="1">
      <c r="B587" s="550"/>
      <c r="C587" s="550"/>
      <c r="D587" s="550"/>
      <c r="E587" s="550"/>
      <c r="F587" s="550"/>
      <c r="G587" s="550"/>
      <c r="H587" s="550"/>
      <c r="I587" s="550"/>
      <c r="J587" s="550"/>
    </row>
    <row r="588" spans="2:10" ht="15" customHeight="1">
      <c r="B588" s="550"/>
      <c r="C588" s="550"/>
      <c r="D588" s="550"/>
      <c r="E588" s="550"/>
      <c r="F588" s="550"/>
      <c r="G588" s="550"/>
      <c r="H588" s="550"/>
      <c r="I588" s="550"/>
      <c r="J588" s="550"/>
    </row>
    <row r="589" spans="2:10" ht="15" customHeight="1">
      <c r="B589" s="550"/>
      <c r="C589" s="550"/>
      <c r="D589" s="550"/>
      <c r="E589" s="550"/>
      <c r="F589" s="550"/>
      <c r="G589" s="550"/>
      <c r="H589" s="550"/>
      <c r="I589" s="550"/>
      <c r="J589" s="550"/>
    </row>
    <row r="590" spans="2:10" ht="15" customHeight="1">
      <c r="B590" s="550"/>
      <c r="C590" s="550"/>
      <c r="D590" s="550"/>
      <c r="E590" s="550"/>
      <c r="F590" s="550"/>
      <c r="G590" s="550"/>
      <c r="H590" s="550"/>
      <c r="I590" s="550"/>
      <c r="J590" s="550"/>
    </row>
    <row r="591" spans="2:10" ht="15" customHeight="1">
      <c r="B591" s="550"/>
      <c r="C591" s="550"/>
      <c r="D591" s="550"/>
      <c r="E591" s="550"/>
      <c r="F591" s="550"/>
      <c r="G591" s="550"/>
      <c r="H591" s="550"/>
      <c r="I591" s="550"/>
      <c r="J591" s="550"/>
    </row>
    <row r="592" spans="2:10" ht="15" customHeight="1">
      <c r="B592" s="550"/>
      <c r="C592" s="550"/>
      <c r="D592" s="550"/>
      <c r="E592" s="550"/>
      <c r="F592" s="550"/>
      <c r="G592" s="550"/>
      <c r="H592" s="550"/>
      <c r="I592" s="550"/>
      <c r="J592" s="550"/>
    </row>
    <row r="593" spans="2:10" ht="15" customHeight="1">
      <c r="B593" s="550"/>
      <c r="C593" s="550"/>
      <c r="D593" s="550"/>
      <c r="E593" s="550"/>
      <c r="F593" s="550"/>
      <c r="G593" s="550"/>
      <c r="H593" s="550"/>
      <c r="I593" s="550"/>
      <c r="J593" s="550"/>
    </row>
    <row r="594" spans="2:10" ht="15" customHeight="1">
      <c r="B594" s="550"/>
      <c r="C594" s="550"/>
      <c r="D594" s="550"/>
      <c r="E594" s="550"/>
      <c r="F594" s="550"/>
      <c r="G594" s="550"/>
      <c r="H594" s="550"/>
      <c r="I594" s="550"/>
      <c r="J594" s="550"/>
    </row>
    <row r="595" spans="2:10" ht="15" customHeight="1">
      <c r="B595" s="550"/>
      <c r="C595" s="550"/>
      <c r="D595" s="550"/>
      <c r="E595" s="550"/>
      <c r="F595" s="550"/>
      <c r="G595" s="550"/>
      <c r="H595" s="550"/>
      <c r="I595" s="550"/>
      <c r="J595" s="550"/>
    </row>
    <row r="596" spans="2:10" ht="15" customHeight="1">
      <c r="B596" s="550"/>
      <c r="C596" s="550"/>
      <c r="D596" s="550"/>
      <c r="E596" s="550"/>
      <c r="F596" s="550"/>
      <c r="G596" s="550"/>
      <c r="H596" s="550"/>
      <c r="I596" s="550"/>
      <c r="J596" s="550"/>
    </row>
    <row r="597" spans="2:10" ht="15" customHeight="1">
      <c r="B597" s="550"/>
      <c r="C597" s="550"/>
      <c r="D597" s="550"/>
      <c r="E597" s="550"/>
      <c r="F597" s="550"/>
      <c r="G597" s="550"/>
      <c r="H597" s="550"/>
      <c r="I597" s="550"/>
      <c r="J597" s="550"/>
    </row>
    <row r="598" spans="2:10" ht="15" customHeight="1">
      <c r="B598" s="550"/>
      <c r="C598" s="550"/>
      <c r="D598" s="550"/>
      <c r="E598" s="550"/>
      <c r="F598" s="550"/>
      <c r="G598" s="550"/>
      <c r="H598" s="550"/>
      <c r="I598" s="550"/>
      <c r="J598" s="550"/>
    </row>
    <row r="599" spans="2:10" ht="15" customHeight="1">
      <c r="B599" s="550"/>
      <c r="C599" s="550"/>
      <c r="D599" s="550"/>
      <c r="E599" s="550"/>
      <c r="F599" s="550"/>
      <c r="G599" s="550"/>
      <c r="H599" s="550"/>
      <c r="I599" s="550"/>
      <c r="J599" s="550"/>
    </row>
    <row r="600" spans="2:10" ht="15" customHeight="1">
      <c r="B600" s="550"/>
      <c r="C600" s="550"/>
      <c r="D600" s="550"/>
      <c r="E600" s="550"/>
      <c r="F600" s="550"/>
      <c r="G600" s="550"/>
      <c r="H600" s="550"/>
      <c r="I600" s="550"/>
      <c r="J600" s="550"/>
    </row>
    <row r="601" spans="2:10" ht="15" customHeight="1">
      <c r="B601" s="550"/>
      <c r="C601" s="550"/>
      <c r="D601" s="550"/>
      <c r="E601" s="550"/>
      <c r="F601" s="550"/>
      <c r="G601" s="550"/>
      <c r="H601" s="550"/>
      <c r="I601" s="550"/>
      <c r="J601" s="550"/>
    </row>
    <row r="602" spans="2:10" ht="15" customHeight="1">
      <c r="B602" s="550"/>
      <c r="C602" s="550"/>
      <c r="D602" s="550"/>
      <c r="E602" s="550"/>
      <c r="F602" s="550"/>
      <c r="G602" s="550"/>
      <c r="H602" s="550"/>
      <c r="I602" s="550"/>
      <c r="J602" s="550"/>
    </row>
    <row r="603" spans="2:10" ht="15" customHeight="1">
      <c r="B603" s="550"/>
      <c r="C603" s="550"/>
      <c r="D603" s="550"/>
      <c r="E603" s="550"/>
      <c r="F603" s="550"/>
      <c r="G603" s="550"/>
      <c r="H603" s="550"/>
      <c r="I603" s="550"/>
      <c r="J603" s="550"/>
    </row>
    <row r="604" spans="2:10" ht="15" customHeight="1">
      <c r="B604" s="550"/>
      <c r="C604" s="550"/>
      <c r="D604" s="550"/>
      <c r="E604" s="550"/>
      <c r="F604" s="550"/>
      <c r="G604" s="550"/>
      <c r="H604" s="550"/>
      <c r="I604" s="550"/>
      <c r="J604" s="550"/>
    </row>
    <row r="605" spans="2:10" ht="15" customHeight="1">
      <c r="B605" s="550"/>
      <c r="C605" s="550"/>
      <c r="D605" s="550"/>
      <c r="E605" s="550"/>
      <c r="F605" s="550"/>
      <c r="G605" s="550"/>
      <c r="H605" s="550"/>
      <c r="I605" s="550"/>
      <c r="J605" s="550"/>
    </row>
    <row r="606" spans="2:10" ht="15" customHeight="1">
      <c r="B606" s="550"/>
      <c r="C606" s="550"/>
      <c r="D606" s="550"/>
      <c r="E606" s="550"/>
      <c r="F606" s="550"/>
      <c r="G606" s="550"/>
      <c r="H606" s="550"/>
      <c r="I606" s="550"/>
      <c r="J606" s="550"/>
    </row>
    <row r="607" spans="2:10" ht="15" customHeight="1">
      <c r="B607" s="550"/>
      <c r="C607" s="550"/>
      <c r="D607" s="550"/>
      <c r="E607" s="550"/>
      <c r="F607" s="550"/>
      <c r="G607" s="550"/>
      <c r="H607" s="550"/>
      <c r="I607" s="550"/>
      <c r="J607" s="550"/>
    </row>
    <row r="608" spans="2:10" ht="15" customHeight="1">
      <c r="B608" s="550"/>
      <c r="C608" s="550"/>
      <c r="D608" s="550"/>
      <c r="E608" s="550"/>
      <c r="F608" s="550"/>
      <c r="G608" s="550"/>
      <c r="H608" s="550"/>
      <c r="I608" s="550"/>
      <c r="J608" s="550"/>
    </row>
    <row r="609" spans="2:10" ht="15" customHeight="1">
      <c r="B609" s="550"/>
      <c r="C609" s="550"/>
      <c r="D609" s="550"/>
      <c r="E609" s="550"/>
      <c r="F609" s="550"/>
      <c r="G609" s="550"/>
      <c r="H609" s="550"/>
      <c r="I609" s="550"/>
      <c r="J609" s="550"/>
    </row>
    <row r="610" spans="2:10" ht="15" customHeight="1">
      <c r="B610" s="550"/>
      <c r="C610" s="550"/>
      <c r="D610" s="550"/>
      <c r="E610" s="550"/>
      <c r="F610" s="550"/>
      <c r="G610" s="550"/>
      <c r="H610" s="550"/>
      <c r="I610" s="550"/>
      <c r="J610" s="550"/>
    </row>
    <row r="611" spans="2:10" ht="15" customHeight="1">
      <c r="B611" s="550"/>
      <c r="C611" s="550"/>
      <c r="D611" s="550"/>
      <c r="E611" s="550"/>
      <c r="F611" s="550"/>
      <c r="G611" s="550"/>
      <c r="H611" s="550"/>
      <c r="I611" s="550"/>
      <c r="J611" s="550"/>
    </row>
    <row r="612" spans="2:10" ht="15" customHeight="1">
      <c r="B612" s="550"/>
      <c r="C612" s="550"/>
      <c r="D612" s="550"/>
      <c r="E612" s="550"/>
      <c r="F612" s="550"/>
      <c r="G612" s="550"/>
      <c r="H612" s="550"/>
      <c r="I612" s="550"/>
      <c r="J612" s="550"/>
    </row>
    <row r="613" spans="2:10" ht="15" customHeight="1">
      <c r="B613" s="550"/>
      <c r="C613" s="550"/>
      <c r="D613" s="550"/>
      <c r="E613" s="550"/>
      <c r="F613" s="550"/>
      <c r="G613" s="550"/>
      <c r="H613" s="550"/>
      <c r="I613" s="550"/>
      <c r="J613" s="550"/>
    </row>
    <row r="614" spans="2:10" ht="15" customHeight="1">
      <c r="B614" s="550"/>
      <c r="C614" s="550"/>
      <c r="D614" s="550"/>
      <c r="E614" s="550"/>
      <c r="F614" s="550"/>
      <c r="G614" s="550"/>
      <c r="H614" s="550"/>
      <c r="I614" s="550"/>
      <c r="J614" s="550"/>
    </row>
    <row r="615" spans="2:10" ht="15" customHeight="1">
      <c r="B615" s="550"/>
      <c r="C615" s="550"/>
      <c r="D615" s="550"/>
      <c r="E615" s="550"/>
      <c r="F615" s="550"/>
      <c r="G615" s="550"/>
      <c r="H615" s="550"/>
      <c r="I615" s="550"/>
      <c r="J615" s="550"/>
    </row>
    <row r="616" spans="2:10" ht="15" customHeight="1">
      <c r="B616" s="550"/>
      <c r="C616" s="550"/>
      <c r="D616" s="550"/>
      <c r="E616" s="550"/>
      <c r="F616" s="550"/>
      <c r="G616" s="550"/>
      <c r="H616" s="550"/>
      <c r="I616" s="550"/>
      <c r="J616" s="550"/>
    </row>
    <row r="617" spans="2:10" ht="15" customHeight="1">
      <c r="B617" s="550"/>
      <c r="C617" s="550"/>
      <c r="D617" s="550"/>
      <c r="E617" s="550"/>
      <c r="F617" s="550"/>
      <c r="G617" s="550"/>
      <c r="H617" s="550"/>
      <c r="I617" s="550"/>
      <c r="J617" s="550"/>
    </row>
    <row r="618" spans="2:10" ht="15" customHeight="1">
      <c r="B618" s="550"/>
      <c r="C618" s="550"/>
      <c r="D618" s="550"/>
      <c r="E618" s="550"/>
      <c r="F618" s="550"/>
      <c r="G618" s="550"/>
      <c r="H618" s="550"/>
      <c r="I618" s="550"/>
      <c r="J618" s="550"/>
    </row>
    <row r="619" spans="2:10" ht="15" customHeight="1">
      <c r="B619" s="550"/>
      <c r="C619" s="550"/>
      <c r="D619" s="550"/>
      <c r="E619" s="550"/>
      <c r="F619" s="550"/>
      <c r="G619" s="550"/>
      <c r="H619" s="550"/>
      <c r="I619" s="550"/>
      <c r="J619" s="550"/>
    </row>
    <row r="620" spans="2:10" ht="15" customHeight="1">
      <c r="B620" s="550"/>
      <c r="C620" s="550"/>
      <c r="D620" s="550"/>
      <c r="E620" s="550"/>
      <c r="F620" s="550"/>
      <c r="G620" s="550"/>
      <c r="H620" s="550"/>
      <c r="I620" s="550"/>
      <c r="J620" s="550"/>
    </row>
    <row r="621" spans="2:10" ht="15" customHeight="1">
      <c r="B621" s="550"/>
      <c r="C621" s="550"/>
      <c r="D621" s="550"/>
      <c r="E621" s="550"/>
      <c r="F621" s="550"/>
      <c r="G621" s="550"/>
      <c r="H621" s="550"/>
      <c r="I621" s="550"/>
      <c r="J621" s="550"/>
    </row>
    <row r="622" spans="2:10" ht="15" customHeight="1">
      <c r="B622" s="550"/>
      <c r="C622" s="550"/>
      <c r="D622" s="550"/>
      <c r="E622" s="550"/>
      <c r="F622" s="550"/>
      <c r="G622" s="550"/>
      <c r="H622" s="550"/>
      <c r="I622" s="550"/>
      <c r="J622" s="550"/>
    </row>
    <row r="623" spans="2:10" ht="15" customHeight="1">
      <c r="B623" s="550"/>
      <c r="C623" s="550"/>
      <c r="D623" s="550"/>
      <c r="E623" s="550"/>
      <c r="F623" s="550"/>
      <c r="G623" s="550"/>
      <c r="H623" s="550"/>
      <c r="I623" s="550"/>
      <c r="J623" s="550"/>
    </row>
    <row r="624" spans="2:10" ht="15" customHeight="1">
      <c r="B624" s="550"/>
      <c r="C624" s="550"/>
      <c r="D624" s="550"/>
      <c r="E624" s="550"/>
      <c r="F624" s="550"/>
      <c r="G624" s="550"/>
      <c r="H624" s="550"/>
      <c r="I624" s="550"/>
      <c r="J624" s="550"/>
    </row>
    <row r="625" spans="2:10" ht="15" customHeight="1">
      <c r="B625" s="550"/>
      <c r="C625" s="550"/>
      <c r="D625" s="550"/>
      <c r="E625" s="550"/>
      <c r="F625" s="550"/>
      <c r="G625" s="550"/>
      <c r="H625" s="550"/>
      <c r="I625" s="550"/>
      <c r="J625" s="550"/>
    </row>
    <row r="626" spans="2:10" ht="15" customHeight="1">
      <c r="B626" s="550"/>
      <c r="C626" s="550"/>
      <c r="D626" s="550"/>
      <c r="E626" s="550"/>
      <c r="F626" s="550"/>
      <c r="G626" s="550"/>
      <c r="H626" s="550"/>
      <c r="I626" s="550"/>
      <c r="J626" s="550"/>
    </row>
    <row r="627" spans="2:10" ht="15" customHeight="1">
      <c r="B627" s="550"/>
      <c r="C627" s="550"/>
      <c r="D627" s="550"/>
      <c r="E627" s="550"/>
      <c r="F627" s="550"/>
      <c r="G627" s="550"/>
      <c r="H627" s="550"/>
      <c r="I627" s="550"/>
      <c r="J627" s="550"/>
    </row>
    <row r="628" spans="2:10" ht="15" customHeight="1">
      <c r="B628" s="550"/>
      <c r="C628" s="550"/>
      <c r="D628" s="550"/>
      <c r="E628" s="550"/>
      <c r="F628" s="550"/>
      <c r="G628" s="550"/>
      <c r="H628" s="550"/>
      <c r="I628" s="550"/>
      <c r="J628" s="550"/>
    </row>
    <row r="629" spans="2:10" ht="15" customHeight="1">
      <c r="B629" s="550"/>
      <c r="C629" s="550"/>
      <c r="D629" s="550"/>
      <c r="E629" s="550"/>
      <c r="F629" s="550"/>
      <c r="G629" s="550"/>
      <c r="H629" s="550"/>
      <c r="I629" s="550"/>
      <c r="J629" s="550"/>
    </row>
    <row r="630" spans="2:10" ht="15" customHeight="1">
      <c r="B630" s="550"/>
      <c r="C630" s="550"/>
      <c r="D630" s="550"/>
      <c r="E630" s="550"/>
      <c r="F630" s="550"/>
      <c r="G630" s="550"/>
      <c r="H630" s="550"/>
      <c r="I630" s="550"/>
      <c r="J630" s="550"/>
    </row>
    <row r="631" spans="2:10" ht="15" customHeight="1">
      <c r="B631" s="550"/>
      <c r="C631" s="550"/>
      <c r="D631" s="550"/>
      <c r="E631" s="550"/>
      <c r="F631" s="550"/>
      <c r="G631" s="550"/>
      <c r="H631" s="550"/>
      <c r="I631" s="550"/>
      <c r="J631" s="550"/>
    </row>
    <row r="632" spans="2:10" ht="15" customHeight="1">
      <c r="B632" s="550"/>
      <c r="C632" s="550"/>
      <c r="D632" s="550"/>
      <c r="E632" s="550"/>
      <c r="F632" s="550"/>
      <c r="G632" s="550"/>
      <c r="H632" s="550"/>
      <c r="I632" s="550"/>
      <c r="J632" s="550"/>
    </row>
    <row r="633" spans="2:10" ht="15" customHeight="1">
      <c r="B633" s="550"/>
      <c r="C633" s="550"/>
      <c r="D633" s="550"/>
      <c r="E633" s="550"/>
      <c r="F633" s="550"/>
      <c r="G633" s="550"/>
      <c r="H633" s="550"/>
      <c r="I633" s="550"/>
      <c r="J633" s="550"/>
    </row>
    <row r="634" spans="2:10" ht="15" customHeight="1">
      <c r="B634" s="550"/>
      <c r="C634" s="550"/>
      <c r="D634" s="550"/>
      <c r="E634" s="550"/>
      <c r="F634" s="550"/>
      <c r="G634" s="550"/>
      <c r="H634" s="550"/>
      <c r="I634" s="550"/>
      <c r="J634" s="550"/>
    </row>
    <row r="635" spans="2:10" ht="15" customHeight="1">
      <c r="B635" s="550"/>
      <c r="C635" s="550"/>
      <c r="D635" s="550"/>
      <c r="E635" s="550"/>
      <c r="F635" s="550"/>
      <c r="G635" s="550"/>
      <c r="H635" s="550"/>
      <c r="I635" s="550"/>
      <c r="J635" s="550"/>
    </row>
    <row r="636" spans="2:10" ht="15" customHeight="1">
      <c r="B636" s="550"/>
      <c r="C636" s="550"/>
      <c r="D636" s="550"/>
      <c r="E636" s="550"/>
      <c r="F636" s="550"/>
      <c r="G636" s="550"/>
      <c r="H636" s="550"/>
      <c r="I636" s="550"/>
      <c r="J636" s="550"/>
    </row>
    <row r="637" spans="2:10" ht="15" customHeight="1">
      <c r="B637" s="550"/>
      <c r="C637" s="550"/>
      <c r="D637" s="550"/>
      <c r="E637" s="550"/>
      <c r="F637" s="550"/>
      <c r="G637" s="550"/>
      <c r="H637" s="550"/>
      <c r="I637" s="550"/>
      <c r="J637" s="550"/>
    </row>
    <row r="638" spans="2:10" ht="15" customHeight="1">
      <c r="B638" s="550"/>
      <c r="C638" s="550"/>
      <c r="D638" s="550"/>
      <c r="E638" s="550"/>
      <c r="F638" s="550"/>
      <c r="G638" s="550"/>
      <c r="H638" s="550"/>
      <c r="I638" s="550"/>
      <c r="J638" s="550"/>
    </row>
    <row r="639" spans="2:10" ht="15" customHeight="1">
      <c r="B639" s="550"/>
      <c r="C639" s="550"/>
      <c r="D639" s="550"/>
      <c r="E639" s="550"/>
      <c r="F639" s="550"/>
      <c r="G639" s="550"/>
      <c r="H639" s="550"/>
      <c r="I639" s="550"/>
      <c r="J639" s="550"/>
    </row>
    <row r="640" spans="2:10" ht="15" customHeight="1">
      <c r="B640" s="550"/>
      <c r="C640" s="550"/>
      <c r="D640" s="550"/>
      <c r="E640" s="550"/>
      <c r="F640" s="550"/>
      <c r="G640" s="550"/>
      <c r="H640" s="550"/>
      <c r="I640" s="550"/>
      <c r="J640" s="550"/>
    </row>
    <row r="641" spans="2:10" ht="15" customHeight="1">
      <c r="B641" s="550"/>
      <c r="C641" s="550"/>
      <c r="D641" s="550"/>
      <c r="E641" s="550"/>
      <c r="F641" s="550"/>
      <c r="G641" s="550"/>
      <c r="H641" s="550"/>
      <c r="I641" s="550"/>
      <c r="J641" s="550"/>
    </row>
    <row r="642" spans="2:10" ht="15" customHeight="1">
      <c r="B642" s="550"/>
      <c r="C642" s="550"/>
      <c r="D642" s="550"/>
      <c r="E642" s="550"/>
      <c r="F642" s="550"/>
      <c r="G642" s="550"/>
      <c r="H642" s="550"/>
      <c r="I642" s="550"/>
      <c r="J642" s="550"/>
    </row>
    <row r="643" spans="2:10" ht="15" customHeight="1">
      <c r="B643" s="550"/>
      <c r="C643" s="550"/>
      <c r="D643" s="550"/>
      <c r="E643" s="550"/>
      <c r="F643" s="550"/>
      <c r="G643" s="550"/>
      <c r="H643" s="550"/>
      <c r="I643" s="550"/>
      <c r="J643" s="550"/>
    </row>
    <row r="644" spans="2:10" ht="15" customHeight="1">
      <c r="B644" s="550"/>
      <c r="C644" s="550"/>
      <c r="D644" s="550"/>
      <c r="E644" s="550"/>
      <c r="F644" s="550"/>
      <c r="G644" s="550"/>
      <c r="H644" s="550"/>
      <c r="I644" s="550"/>
      <c r="J644" s="550"/>
    </row>
    <row r="645" spans="2:10" ht="15" customHeight="1">
      <c r="B645" s="550"/>
      <c r="C645" s="550"/>
      <c r="D645" s="550"/>
      <c r="E645" s="550"/>
      <c r="F645" s="550"/>
      <c r="G645" s="550"/>
      <c r="H645" s="550"/>
      <c r="I645" s="550"/>
      <c r="J645" s="550"/>
    </row>
    <row r="646" spans="2:10" ht="15" customHeight="1">
      <c r="B646" s="550"/>
      <c r="C646" s="550"/>
      <c r="D646" s="550"/>
      <c r="E646" s="550"/>
      <c r="F646" s="550"/>
      <c r="G646" s="550"/>
      <c r="H646" s="550"/>
      <c r="I646" s="550"/>
      <c r="J646" s="550"/>
    </row>
    <row r="647" spans="2:10" ht="15" customHeight="1">
      <c r="B647" s="550"/>
      <c r="C647" s="550"/>
      <c r="D647" s="550"/>
      <c r="E647" s="550"/>
      <c r="F647" s="550"/>
      <c r="G647" s="550"/>
      <c r="H647" s="550"/>
      <c r="I647" s="550"/>
      <c r="J647" s="550"/>
    </row>
    <row r="648" spans="2:10" ht="15" customHeight="1">
      <c r="B648" s="550"/>
      <c r="C648" s="550"/>
      <c r="D648" s="550"/>
      <c r="E648" s="550"/>
      <c r="F648" s="550"/>
      <c r="G648" s="550"/>
      <c r="H648" s="550"/>
      <c r="I648" s="550"/>
      <c r="J648" s="550"/>
    </row>
    <row r="649" spans="2:10" ht="15" customHeight="1">
      <c r="B649" s="550"/>
      <c r="C649" s="550"/>
      <c r="D649" s="550"/>
      <c r="E649" s="550"/>
      <c r="F649" s="550"/>
      <c r="G649" s="550"/>
      <c r="H649" s="550"/>
      <c r="I649" s="550"/>
      <c r="J649" s="550"/>
    </row>
    <row r="650" spans="2:10" ht="15" customHeight="1">
      <c r="B650" s="550"/>
      <c r="C650" s="550"/>
      <c r="D650" s="550"/>
      <c r="E650" s="550"/>
      <c r="F650" s="550"/>
      <c r="G650" s="550"/>
      <c r="H650" s="550"/>
      <c r="I650" s="550"/>
      <c r="J650" s="550"/>
    </row>
    <row r="651" spans="2:10" ht="15" customHeight="1">
      <c r="B651" s="550"/>
      <c r="C651" s="550"/>
      <c r="D651" s="550"/>
      <c r="E651" s="550"/>
      <c r="F651" s="550"/>
      <c r="G651" s="550"/>
      <c r="H651" s="550"/>
      <c r="I651" s="550"/>
      <c r="J651" s="550"/>
    </row>
    <row r="652" spans="2:10" ht="15" customHeight="1">
      <c r="B652" s="550"/>
      <c r="C652" s="550"/>
      <c r="D652" s="550"/>
      <c r="E652" s="550"/>
      <c r="F652" s="550"/>
      <c r="G652" s="550"/>
      <c r="H652" s="550"/>
      <c r="I652" s="550"/>
      <c r="J652" s="550"/>
    </row>
    <row r="653" spans="2:10" ht="15" customHeight="1">
      <c r="B653" s="550"/>
      <c r="C653" s="550"/>
      <c r="D653" s="550"/>
      <c r="E653" s="550"/>
      <c r="F653" s="550"/>
      <c r="G653" s="550"/>
      <c r="H653" s="550"/>
      <c r="I653" s="550"/>
      <c r="J653" s="550"/>
    </row>
    <row r="654" spans="2:10" ht="15" customHeight="1">
      <c r="B654" s="550"/>
      <c r="C654" s="550"/>
      <c r="D654" s="550"/>
      <c r="E654" s="550"/>
      <c r="F654" s="550"/>
      <c r="G654" s="550"/>
      <c r="H654" s="550"/>
      <c r="I654" s="550"/>
      <c r="J654" s="550"/>
    </row>
    <row r="655" spans="2:10" ht="15" customHeight="1">
      <c r="B655" s="550"/>
      <c r="C655" s="550"/>
      <c r="D655" s="550"/>
      <c r="E655" s="550"/>
      <c r="F655" s="550"/>
      <c r="G655" s="550"/>
      <c r="H655" s="550"/>
      <c r="I655" s="550"/>
      <c r="J655" s="550"/>
    </row>
    <row r="656" spans="2:10" ht="15" customHeight="1">
      <c r="B656" s="550"/>
      <c r="C656" s="550"/>
      <c r="D656" s="550"/>
      <c r="E656" s="550"/>
      <c r="F656" s="550"/>
      <c r="G656" s="550"/>
      <c r="H656" s="550"/>
      <c r="I656" s="550"/>
      <c r="J656" s="550"/>
    </row>
    <row r="657" spans="2:10" ht="15" customHeight="1">
      <c r="B657" s="550"/>
      <c r="C657" s="550"/>
      <c r="D657" s="550"/>
      <c r="E657" s="550"/>
      <c r="F657" s="550"/>
      <c r="G657" s="550"/>
      <c r="H657" s="550"/>
      <c r="I657" s="550"/>
      <c r="J657" s="550"/>
    </row>
    <row r="658" spans="2:10" ht="15" customHeight="1">
      <c r="B658" s="550"/>
      <c r="C658" s="550"/>
      <c r="D658" s="550"/>
      <c r="E658" s="550"/>
      <c r="F658" s="550"/>
      <c r="G658" s="550"/>
      <c r="H658" s="550"/>
      <c r="I658" s="550"/>
      <c r="J658" s="550"/>
    </row>
    <row r="659" spans="2:10" ht="15" customHeight="1">
      <c r="B659" s="550"/>
      <c r="C659" s="550"/>
      <c r="D659" s="550"/>
      <c r="E659" s="550"/>
      <c r="F659" s="550"/>
      <c r="G659" s="550"/>
      <c r="H659" s="550"/>
      <c r="I659" s="550"/>
      <c r="J659" s="550"/>
    </row>
    <row r="660" spans="2:10" ht="15" customHeight="1">
      <c r="B660" s="550"/>
      <c r="C660" s="550"/>
      <c r="D660" s="550"/>
      <c r="E660" s="550"/>
      <c r="F660" s="550"/>
      <c r="G660" s="550"/>
      <c r="H660" s="550"/>
      <c r="I660" s="550"/>
      <c r="J660" s="550"/>
    </row>
    <row r="661" spans="2:10" ht="15" customHeight="1">
      <c r="B661" s="550"/>
      <c r="C661" s="550"/>
      <c r="D661" s="550"/>
      <c r="E661" s="550"/>
      <c r="F661" s="550"/>
      <c r="G661" s="550"/>
      <c r="H661" s="550"/>
      <c r="I661" s="550"/>
      <c r="J661" s="550"/>
    </row>
    <row r="662" spans="2:10" ht="15" customHeight="1">
      <c r="B662" s="550"/>
      <c r="C662" s="550"/>
      <c r="D662" s="550"/>
      <c r="E662" s="550"/>
      <c r="F662" s="550"/>
      <c r="G662" s="550"/>
      <c r="H662" s="550"/>
      <c r="I662" s="550"/>
      <c r="J662" s="550"/>
    </row>
    <row r="663" spans="2:10" ht="15" customHeight="1">
      <c r="B663" s="550"/>
      <c r="C663" s="550"/>
      <c r="D663" s="550"/>
      <c r="E663" s="550"/>
      <c r="F663" s="550"/>
      <c r="G663" s="550"/>
      <c r="H663" s="550"/>
      <c r="I663" s="550"/>
      <c r="J663" s="550"/>
    </row>
    <row r="664" spans="2:10" ht="15" customHeight="1">
      <c r="B664" s="550"/>
      <c r="C664" s="550"/>
      <c r="D664" s="550"/>
      <c r="E664" s="550"/>
      <c r="F664" s="550"/>
      <c r="G664" s="550"/>
      <c r="H664" s="550"/>
      <c r="I664" s="550"/>
      <c r="J664" s="550"/>
    </row>
    <row r="665" spans="2:10" ht="15" customHeight="1">
      <c r="B665" s="550"/>
      <c r="C665" s="550"/>
      <c r="D665" s="550"/>
      <c r="E665" s="550"/>
      <c r="F665" s="550"/>
      <c r="G665" s="550"/>
      <c r="H665" s="550"/>
      <c r="I665" s="550"/>
      <c r="J665" s="550"/>
    </row>
    <row r="666" spans="2:10" ht="15" customHeight="1">
      <c r="B666" s="550"/>
      <c r="C666" s="550"/>
      <c r="D666" s="550"/>
      <c r="E666" s="550"/>
      <c r="F666" s="550"/>
      <c r="G666" s="550"/>
      <c r="H666" s="550"/>
      <c r="I666" s="550"/>
      <c r="J666" s="550"/>
    </row>
    <row r="667" spans="2:10" ht="15" customHeight="1">
      <c r="B667" s="550"/>
      <c r="C667" s="550"/>
      <c r="D667" s="550"/>
      <c r="E667" s="550"/>
      <c r="F667" s="550"/>
      <c r="G667" s="550"/>
      <c r="H667" s="550"/>
      <c r="I667" s="550"/>
      <c r="J667" s="550"/>
    </row>
    <row r="668" spans="2:10" ht="15" customHeight="1">
      <c r="B668" s="550"/>
      <c r="C668" s="550"/>
      <c r="D668" s="550"/>
      <c r="E668" s="550"/>
      <c r="F668" s="550"/>
      <c r="G668" s="550"/>
      <c r="H668" s="550"/>
      <c r="I668" s="550"/>
      <c r="J668" s="550"/>
    </row>
    <row r="669" spans="2:10" ht="15" customHeight="1">
      <c r="B669" s="550"/>
      <c r="C669" s="550"/>
      <c r="D669" s="550"/>
      <c r="E669" s="550"/>
      <c r="F669" s="550"/>
      <c r="G669" s="550"/>
      <c r="H669" s="550"/>
      <c r="I669" s="550"/>
      <c r="J669" s="550"/>
    </row>
    <row r="670" spans="2:10" ht="15" customHeight="1">
      <c r="B670" s="550"/>
      <c r="C670" s="550"/>
      <c r="D670" s="550"/>
      <c r="E670" s="550"/>
      <c r="F670" s="550"/>
      <c r="G670" s="550"/>
      <c r="H670" s="550"/>
      <c r="I670" s="550"/>
      <c r="J670" s="550"/>
    </row>
    <row r="671" spans="2:10" ht="15" customHeight="1">
      <c r="B671" s="550"/>
      <c r="C671" s="550"/>
      <c r="D671" s="550"/>
      <c r="E671" s="550"/>
      <c r="F671" s="550"/>
      <c r="G671" s="550"/>
      <c r="H671" s="550"/>
      <c r="I671" s="550"/>
      <c r="J671" s="550"/>
    </row>
    <row r="672" spans="2:10" ht="15" customHeight="1">
      <c r="B672" s="550"/>
      <c r="C672" s="550"/>
      <c r="D672" s="550"/>
      <c r="E672" s="550"/>
      <c r="F672" s="550"/>
      <c r="G672" s="550"/>
      <c r="H672" s="550"/>
      <c r="I672" s="550"/>
      <c r="J672" s="550"/>
    </row>
    <row r="673" spans="2:10" ht="15" customHeight="1">
      <c r="B673" s="550"/>
      <c r="C673" s="550"/>
      <c r="D673" s="550"/>
      <c r="E673" s="550"/>
      <c r="F673" s="550"/>
      <c r="G673" s="550"/>
      <c r="H673" s="550"/>
      <c r="I673" s="550"/>
      <c r="J673" s="550"/>
    </row>
    <row r="674" spans="2:10" ht="15" customHeight="1">
      <c r="B674" s="550"/>
      <c r="C674" s="550"/>
      <c r="D674" s="550"/>
      <c r="E674" s="550"/>
      <c r="F674" s="550"/>
      <c r="G674" s="550"/>
      <c r="H674" s="550"/>
      <c r="I674" s="550"/>
      <c r="J674" s="550"/>
    </row>
    <row r="675" spans="2:10" ht="15" customHeight="1">
      <c r="B675" s="550"/>
      <c r="C675" s="550"/>
      <c r="D675" s="550"/>
      <c r="E675" s="550"/>
      <c r="F675" s="550"/>
      <c r="G675" s="550"/>
      <c r="H675" s="550"/>
      <c r="I675" s="550"/>
      <c r="J675" s="550"/>
    </row>
    <row r="676" spans="2:10" ht="15" customHeight="1">
      <c r="B676" s="550"/>
      <c r="C676" s="550"/>
      <c r="D676" s="550"/>
      <c r="E676" s="550"/>
      <c r="F676" s="550"/>
      <c r="G676" s="550"/>
      <c r="H676" s="550"/>
      <c r="I676" s="550"/>
      <c r="J676" s="550"/>
    </row>
    <row r="677" spans="2:10" ht="15" customHeight="1">
      <c r="B677" s="550"/>
      <c r="C677" s="550"/>
      <c r="D677" s="550"/>
      <c r="E677" s="550"/>
      <c r="F677" s="550"/>
      <c r="G677" s="550"/>
      <c r="H677" s="550"/>
      <c r="I677" s="550"/>
      <c r="J677" s="550"/>
    </row>
    <row r="678" spans="2:10" ht="15" customHeight="1">
      <c r="B678" s="550"/>
      <c r="C678" s="550"/>
      <c r="D678" s="550"/>
      <c r="E678" s="550"/>
      <c r="F678" s="550"/>
      <c r="G678" s="550"/>
      <c r="H678" s="550"/>
      <c r="I678" s="550"/>
      <c r="J678" s="550"/>
    </row>
    <row r="679" spans="2:10" ht="15" customHeight="1">
      <c r="B679" s="550"/>
      <c r="C679" s="550"/>
      <c r="D679" s="550"/>
      <c r="E679" s="550"/>
      <c r="F679" s="550"/>
      <c r="G679" s="550"/>
      <c r="H679" s="550"/>
      <c r="I679" s="550"/>
      <c r="J679" s="550"/>
    </row>
    <row r="680" spans="2:10" ht="15" customHeight="1">
      <c r="B680" s="550"/>
      <c r="C680" s="550"/>
      <c r="D680" s="550"/>
      <c r="E680" s="550"/>
      <c r="F680" s="550"/>
      <c r="G680" s="550"/>
      <c r="H680" s="550"/>
      <c r="I680" s="550"/>
      <c r="J680" s="550"/>
    </row>
    <row r="681" spans="2:10" ht="15" customHeight="1">
      <c r="B681" s="550"/>
      <c r="C681" s="550"/>
      <c r="D681" s="550"/>
      <c r="E681" s="550"/>
      <c r="F681" s="550"/>
      <c r="G681" s="550"/>
      <c r="H681" s="550"/>
      <c r="I681" s="550"/>
      <c r="J681" s="550"/>
    </row>
    <row r="682" spans="2:10" ht="15" customHeight="1">
      <c r="B682" s="550"/>
      <c r="C682" s="550"/>
      <c r="D682" s="550"/>
      <c r="E682" s="550"/>
      <c r="F682" s="550"/>
      <c r="G682" s="550"/>
      <c r="H682" s="550"/>
      <c r="I682" s="550"/>
      <c r="J682" s="550"/>
    </row>
    <row r="683" spans="2:10" ht="15" customHeight="1">
      <c r="B683" s="550"/>
      <c r="C683" s="550"/>
      <c r="D683" s="550"/>
      <c r="E683" s="550"/>
      <c r="F683" s="550"/>
      <c r="G683" s="550"/>
      <c r="H683" s="550"/>
      <c r="I683" s="550"/>
      <c r="J683" s="550"/>
    </row>
    <row r="684" spans="2:10" ht="15" customHeight="1">
      <c r="B684" s="550"/>
      <c r="C684" s="550"/>
      <c r="D684" s="550"/>
      <c r="E684" s="550"/>
      <c r="F684" s="550"/>
      <c r="G684" s="550"/>
      <c r="H684" s="550"/>
      <c r="I684" s="550"/>
      <c r="J684" s="550"/>
    </row>
    <row r="685" spans="2:10" ht="15" customHeight="1">
      <c r="B685" s="550"/>
      <c r="C685" s="550"/>
      <c r="D685" s="550"/>
      <c r="E685" s="550"/>
      <c r="F685" s="550"/>
      <c r="G685" s="550"/>
      <c r="H685" s="550"/>
      <c r="I685" s="550"/>
      <c r="J685" s="550"/>
    </row>
    <row r="686" spans="2:10" ht="15" customHeight="1">
      <c r="B686" s="550"/>
      <c r="C686" s="550"/>
      <c r="D686" s="550"/>
      <c r="E686" s="550"/>
      <c r="F686" s="550"/>
      <c r="G686" s="550"/>
      <c r="H686" s="550"/>
      <c r="I686" s="550"/>
      <c r="J686" s="550"/>
    </row>
    <row r="687" spans="2:10" ht="15" customHeight="1">
      <c r="B687" s="550"/>
      <c r="C687" s="550"/>
      <c r="D687" s="550"/>
      <c r="E687" s="550"/>
      <c r="F687" s="550"/>
      <c r="G687" s="550"/>
      <c r="H687" s="550"/>
      <c r="I687" s="550"/>
      <c r="J687" s="550"/>
    </row>
    <row r="688" spans="2:10" ht="15" customHeight="1">
      <c r="B688" s="550"/>
      <c r="C688" s="550"/>
      <c r="D688" s="550"/>
      <c r="E688" s="550"/>
      <c r="F688" s="550"/>
      <c r="G688" s="550"/>
      <c r="H688" s="550"/>
      <c r="I688" s="550"/>
      <c r="J688" s="550"/>
    </row>
    <row r="689" spans="2:10" ht="15" customHeight="1">
      <c r="B689" s="550"/>
      <c r="C689" s="550"/>
      <c r="D689" s="550"/>
      <c r="E689" s="550"/>
      <c r="F689" s="550"/>
      <c r="G689" s="550"/>
      <c r="H689" s="550"/>
      <c r="I689" s="550"/>
      <c r="J689" s="550"/>
    </row>
    <row r="690" spans="2:10" ht="15" customHeight="1">
      <c r="B690" s="550"/>
      <c r="C690" s="550"/>
      <c r="D690" s="550"/>
      <c r="E690" s="550"/>
      <c r="F690" s="550"/>
      <c r="G690" s="550"/>
      <c r="H690" s="550"/>
      <c r="I690" s="550"/>
      <c r="J690" s="550"/>
    </row>
    <row r="691" spans="2:10" ht="15" customHeight="1">
      <c r="B691" s="550"/>
      <c r="C691" s="550"/>
      <c r="D691" s="550"/>
      <c r="E691" s="550"/>
      <c r="F691" s="550"/>
      <c r="G691" s="550"/>
      <c r="H691" s="550"/>
      <c r="I691" s="550"/>
      <c r="J691" s="550"/>
    </row>
    <row r="692" spans="2:10" ht="15" customHeight="1">
      <c r="B692" s="550"/>
      <c r="C692" s="550"/>
      <c r="D692" s="550"/>
      <c r="E692" s="550"/>
      <c r="F692" s="550"/>
      <c r="G692" s="550"/>
      <c r="H692" s="550"/>
      <c r="I692" s="550"/>
      <c r="J692" s="550"/>
    </row>
    <row r="693" spans="2:10" ht="15" customHeight="1">
      <c r="B693" s="550"/>
      <c r="C693" s="550"/>
      <c r="D693" s="550"/>
      <c r="E693" s="550"/>
      <c r="F693" s="550"/>
      <c r="G693" s="550"/>
      <c r="H693" s="550"/>
      <c r="I693" s="550"/>
      <c r="J693" s="550"/>
    </row>
    <row r="694" spans="2:10" ht="15" customHeight="1">
      <c r="B694" s="550"/>
      <c r="C694" s="550"/>
      <c r="D694" s="550"/>
      <c r="E694" s="550"/>
      <c r="F694" s="550"/>
      <c r="G694" s="550"/>
      <c r="H694" s="550"/>
      <c r="I694" s="550"/>
      <c r="J694" s="550"/>
    </row>
    <row r="695" spans="2:10" ht="15" customHeight="1">
      <c r="B695" s="550"/>
      <c r="C695" s="550"/>
      <c r="D695" s="550"/>
      <c r="E695" s="550"/>
      <c r="F695" s="550"/>
      <c r="G695" s="550"/>
      <c r="H695" s="550"/>
      <c r="I695" s="550"/>
      <c r="J695" s="550"/>
    </row>
    <row r="696" spans="2:10" ht="15" customHeight="1">
      <c r="B696" s="550"/>
      <c r="C696" s="550"/>
      <c r="D696" s="550"/>
      <c r="E696" s="550"/>
      <c r="F696" s="550"/>
      <c r="G696" s="550"/>
      <c r="H696" s="550"/>
      <c r="I696" s="550"/>
      <c r="J696" s="550"/>
    </row>
    <row r="697" spans="2:10" ht="15" customHeight="1">
      <c r="B697" s="550"/>
      <c r="C697" s="550"/>
      <c r="D697" s="550"/>
      <c r="E697" s="550"/>
      <c r="F697" s="550"/>
      <c r="G697" s="550"/>
      <c r="H697" s="550"/>
      <c r="I697" s="550"/>
      <c r="J697" s="550"/>
    </row>
    <row r="698" spans="2:10" ht="15" customHeight="1">
      <c r="B698" s="550"/>
      <c r="C698" s="550"/>
      <c r="D698" s="550"/>
      <c r="E698" s="550"/>
      <c r="F698" s="550"/>
      <c r="G698" s="550"/>
      <c r="H698" s="550"/>
      <c r="I698" s="550"/>
      <c r="J698" s="550"/>
    </row>
    <row r="699" spans="2:10" ht="15" customHeight="1">
      <c r="B699" s="550"/>
      <c r="C699" s="550"/>
      <c r="D699" s="550"/>
      <c r="E699" s="550"/>
      <c r="F699" s="550"/>
      <c r="G699" s="550"/>
      <c r="H699" s="550"/>
      <c r="I699" s="550"/>
      <c r="J699" s="550"/>
    </row>
    <row r="700" spans="2:10" ht="15" customHeight="1">
      <c r="B700" s="550"/>
      <c r="C700" s="550"/>
      <c r="D700" s="550"/>
      <c r="E700" s="550"/>
      <c r="F700" s="550"/>
      <c r="G700" s="550"/>
      <c r="H700" s="550"/>
      <c r="I700" s="550"/>
      <c r="J700" s="550"/>
    </row>
    <row r="701" spans="2:10" ht="15" customHeight="1">
      <c r="B701" s="550"/>
      <c r="C701" s="550"/>
      <c r="D701" s="550"/>
      <c r="E701" s="550"/>
      <c r="F701" s="550"/>
      <c r="G701" s="550"/>
      <c r="H701" s="550"/>
      <c r="I701" s="550"/>
      <c r="J701" s="550"/>
    </row>
    <row r="702" spans="2:10" ht="15" customHeight="1">
      <c r="B702" s="550"/>
      <c r="C702" s="550"/>
      <c r="D702" s="550"/>
      <c r="E702" s="550"/>
      <c r="F702" s="550"/>
      <c r="G702" s="550"/>
      <c r="H702" s="550"/>
      <c r="I702" s="550"/>
      <c r="J702" s="550"/>
    </row>
    <row r="703" spans="2:10" ht="15" customHeight="1">
      <c r="B703" s="550"/>
      <c r="C703" s="550"/>
      <c r="D703" s="550"/>
      <c r="E703" s="550"/>
      <c r="F703" s="550"/>
      <c r="G703" s="550"/>
      <c r="H703" s="550"/>
      <c r="I703" s="550"/>
      <c r="J703" s="550"/>
    </row>
    <row r="704" spans="2:10" ht="15" customHeight="1">
      <c r="B704" s="550"/>
      <c r="C704" s="550"/>
      <c r="D704" s="550"/>
      <c r="E704" s="550"/>
      <c r="F704" s="550"/>
      <c r="G704" s="550"/>
      <c r="H704" s="550"/>
      <c r="I704" s="550"/>
      <c r="J704" s="550"/>
    </row>
    <row r="705" spans="2:10" ht="15" customHeight="1">
      <c r="B705" s="550"/>
      <c r="C705" s="550"/>
      <c r="D705" s="550"/>
      <c r="E705" s="550"/>
      <c r="F705" s="550"/>
      <c r="G705" s="550"/>
      <c r="H705" s="550"/>
      <c r="I705" s="550"/>
      <c r="J705" s="550"/>
    </row>
    <row r="706" spans="2:10" ht="15" customHeight="1">
      <c r="B706" s="550"/>
      <c r="C706" s="550"/>
      <c r="D706" s="550"/>
      <c r="E706" s="550"/>
      <c r="F706" s="550"/>
      <c r="G706" s="550"/>
      <c r="H706" s="550"/>
      <c r="I706" s="550"/>
      <c r="J706" s="550"/>
    </row>
    <row r="707" spans="2:10" ht="15" customHeight="1">
      <c r="B707" s="550"/>
      <c r="C707" s="550"/>
      <c r="D707" s="550"/>
      <c r="E707" s="550"/>
      <c r="F707" s="550"/>
      <c r="G707" s="550"/>
      <c r="H707" s="550"/>
      <c r="I707" s="550"/>
      <c r="J707" s="550"/>
    </row>
    <row r="708" spans="2:10" ht="15" customHeight="1">
      <c r="B708" s="550"/>
      <c r="C708" s="550"/>
      <c r="D708" s="550"/>
      <c r="E708" s="550"/>
      <c r="F708" s="550"/>
      <c r="G708" s="550"/>
      <c r="H708" s="550"/>
      <c r="I708" s="550"/>
      <c r="J708" s="550"/>
    </row>
    <row r="709" spans="2:10" ht="15" customHeight="1">
      <c r="B709" s="550"/>
      <c r="C709" s="550"/>
      <c r="D709" s="550"/>
      <c r="E709" s="550"/>
      <c r="F709" s="550"/>
      <c r="G709" s="550"/>
      <c r="H709" s="550"/>
      <c r="I709" s="550"/>
      <c r="J709" s="550"/>
    </row>
    <row r="710" spans="2:10" ht="15" customHeight="1">
      <c r="B710" s="550"/>
      <c r="C710" s="550"/>
      <c r="D710" s="550"/>
      <c r="E710" s="550"/>
      <c r="F710" s="550"/>
      <c r="G710" s="550"/>
      <c r="H710" s="550"/>
      <c r="I710" s="550"/>
      <c r="J710" s="550"/>
    </row>
    <row r="711" spans="2:10" ht="15" customHeight="1">
      <c r="B711" s="550"/>
      <c r="C711" s="550"/>
      <c r="D711" s="550"/>
      <c r="E711" s="550"/>
      <c r="F711" s="550"/>
      <c r="G711" s="550"/>
      <c r="H711" s="550"/>
      <c r="I711" s="550"/>
      <c r="J711" s="550"/>
    </row>
    <row r="712" spans="2:10" ht="15" customHeight="1">
      <c r="B712" s="550"/>
      <c r="C712" s="550"/>
      <c r="D712" s="550"/>
      <c r="E712" s="550"/>
      <c r="F712" s="550"/>
      <c r="G712" s="550"/>
      <c r="H712" s="550"/>
      <c r="I712" s="550"/>
      <c r="J712" s="550"/>
    </row>
    <row r="713" spans="2:10" ht="15" customHeight="1">
      <c r="B713" s="550"/>
      <c r="C713" s="550"/>
      <c r="D713" s="550"/>
      <c r="E713" s="550"/>
      <c r="F713" s="550"/>
      <c r="G713" s="550"/>
      <c r="H713" s="550"/>
      <c r="I713" s="550"/>
      <c r="J713" s="550"/>
    </row>
    <row r="714" spans="2:10" ht="15" customHeight="1">
      <c r="B714" s="550"/>
      <c r="C714" s="550"/>
      <c r="D714" s="550"/>
      <c r="E714" s="550"/>
      <c r="F714" s="550"/>
      <c r="G714" s="550"/>
      <c r="H714" s="550"/>
      <c r="I714" s="550"/>
      <c r="J714" s="550"/>
    </row>
    <row r="715" spans="2:10" ht="15" customHeight="1">
      <c r="B715" s="550"/>
      <c r="C715" s="550"/>
      <c r="D715" s="550"/>
      <c r="E715" s="550"/>
      <c r="F715" s="550"/>
      <c r="G715" s="550"/>
      <c r="H715" s="550"/>
      <c r="I715" s="550"/>
      <c r="J715" s="550"/>
    </row>
    <row r="716" spans="2:10" ht="15" customHeight="1">
      <c r="B716" s="550"/>
      <c r="C716" s="550"/>
      <c r="D716" s="550"/>
      <c r="E716" s="550"/>
      <c r="F716" s="550"/>
      <c r="G716" s="550"/>
      <c r="H716" s="550"/>
      <c r="I716" s="550"/>
      <c r="J716" s="550"/>
    </row>
    <row r="717" spans="2:10" ht="15" customHeight="1">
      <c r="B717" s="550"/>
      <c r="C717" s="550"/>
      <c r="D717" s="550"/>
      <c r="E717" s="550"/>
      <c r="F717" s="550"/>
      <c r="G717" s="550"/>
      <c r="H717" s="550"/>
      <c r="I717" s="550"/>
      <c r="J717" s="550"/>
    </row>
    <row r="718" spans="2:10" ht="15" customHeight="1">
      <c r="B718" s="550"/>
      <c r="C718" s="550"/>
      <c r="D718" s="550"/>
      <c r="E718" s="550"/>
      <c r="F718" s="550"/>
      <c r="G718" s="550"/>
      <c r="H718" s="550"/>
      <c r="I718" s="550"/>
      <c r="J718" s="550"/>
    </row>
    <row r="719" spans="2:10" ht="15" customHeight="1">
      <c r="B719" s="550"/>
      <c r="C719" s="550"/>
      <c r="D719" s="550"/>
      <c r="E719" s="550"/>
      <c r="F719" s="550"/>
      <c r="G719" s="550"/>
      <c r="H719" s="550"/>
      <c r="I719" s="550"/>
      <c r="J719" s="550"/>
    </row>
    <row r="720" spans="2:10" ht="15" customHeight="1">
      <c r="B720" s="550"/>
      <c r="C720" s="550"/>
      <c r="D720" s="550"/>
      <c r="E720" s="550"/>
      <c r="F720" s="550"/>
      <c r="G720" s="550"/>
      <c r="H720" s="550"/>
      <c r="I720" s="550"/>
      <c r="J720" s="550"/>
    </row>
    <row r="721" spans="2:10" ht="15" customHeight="1">
      <c r="B721" s="550"/>
      <c r="C721" s="550"/>
      <c r="D721" s="550"/>
      <c r="E721" s="550"/>
      <c r="F721" s="550"/>
      <c r="G721" s="550"/>
      <c r="H721" s="550"/>
      <c r="I721" s="550"/>
      <c r="J721" s="550"/>
    </row>
    <row r="722" spans="2:10" ht="15" customHeight="1">
      <c r="B722" s="550"/>
      <c r="C722" s="550"/>
      <c r="D722" s="550"/>
      <c r="E722" s="550"/>
      <c r="F722" s="550"/>
      <c r="G722" s="550"/>
      <c r="H722" s="550"/>
      <c r="I722" s="550"/>
      <c r="J722" s="550"/>
    </row>
    <row r="723" spans="2:10" ht="15" customHeight="1">
      <c r="B723" s="550"/>
      <c r="C723" s="550"/>
      <c r="D723" s="550"/>
      <c r="E723" s="550"/>
      <c r="F723" s="550"/>
      <c r="G723" s="550"/>
      <c r="H723" s="550"/>
      <c r="I723" s="550"/>
      <c r="J723" s="550"/>
    </row>
    <row r="724" spans="2:10" ht="15" customHeight="1">
      <c r="B724" s="550"/>
      <c r="C724" s="550"/>
      <c r="D724" s="550"/>
      <c r="E724" s="550"/>
      <c r="F724" s="550"/>
      <c r="G724" s="550"/>
      <c r="H724" s="550"/>
      <c r="I724" s="550"/>
      <c r="J724" s="550"/>
    </row>
    <row r="725" spans="2:10" ht="15" customHeight="1">
      <c r="B725" s="550"/>
      <c r="C725" s="550"/>
      <c r="D725" s="550"/>
      <c r="E725" s="550"/>
      <c r="F725" s="550"/>
      <c r="G725" s="550"/>
      <c r="H725" s="550"/>
      <c r="I725" s="550"/>
      <c r="J725" s="550"/>
    </row>
    <row r="726" spans="2:10" ht="15" customHeight="1">
      <c r="B726" s="550"/>
      <c r="C726" s="550"/>
      <c r="D726" s="550"/>
      <c r="E726" s="550"/>
      <c r="F726" s="550"/>
      <c r="G726" s="550"/>
      <c r="H726" s="550"/>
      <c r="I726" s="550"/>
      <c r="J726" s="550"/>
    </row>
    <row r="727" spans="2:10" ht="15" customHeight="1">
      <c r="B727" s="550"/>
      <c r="C727" s="550"/>
      <c r="D727" s="550"/>
      <c r="E727" s="550"/>
      <c r="F727" s="550"/>
      <c r="G727" s="550"/>
      <c r="H727" s="550"/>
      <c r="I727" s="550"/>
      <c r="J727" s="550"/>
    </row>
    <row r="728" spans="2:10" ht="15" customHeight="1">
      <c r="B728" s="550"/>
      <c r="C728" s="550"/>
      <c r="D728" s="550"/>
      <c r="E728" s="550"/>
      <c r="F728" s="550"/>
      <c r="G728" s="550"/>
      <c r="H728" s="550"/>
      <c r="I728" s="550"/>
      <c r="J728" s="550"/>
    </row>
    <row r="729" spans="2:10" ht="15" customHeight="1">
      <c r="B729" s="550"/>
      <c r="C729" s="550"/>
      <c r="D729" s="550"/>
      <c r="E729" s="550"/>
      <c r="F729" s="550"/>
      <c r="G729" s="550"/>
      <c r="H729" s="550"/>
      <c r="I729" s="550"/>
      <c r="J729" s="550"/>
    </row>
    <row r="730" spans="2:10" ht="15" customHeight="1">
      <c r="B730" s="550"/>
      <c r="C730" s="550"/>
      <c r="D730" s="550"/>
      <c r="E730" s="550"/>
      <c r="F730" s="550"/>
      <c r="G730" s="550"/>
      <c r="H730" s="550"/>
      <c r="I730" s="550"/>
      <c r="J730" s="550"/>
    </row>
    <row r="731" spans="2:10" ht="15" customHeight="1">
      <c r="B731" s="550"/>
      <c r="C731" s="550"/>
      <c r="D731" s="550"/>
      <c r="E731" s="550"/>
      <c r="F731" s="550"/>
      <c r="G731" s="550"/>
      <c r="H731" s="550"/>
      <c r="I731" s="550"/>
      <c r="J731" s="550"/>
    </row>
    <row r="732" spans="2:10" ht="15" customHeight="1">
      <c r="B732" s="550"/>
      <c r="C732" s="550"/>
      <c r="D732" s="550"/>
      <c r="E732" s="550"/>
      <c r="F732" s="550"/>
      <c r="G732" s="550"/>
      <c r="H732" s="550"/>
      <c r="I732" s="550"/>
      <c r="J732" s="550"/>
    </row>
    <row r="733" spans="2:10" ht="15" customHeight="1">
      <c r="B733" s="550"/>
      <c r="C733" s="550"/>
      <c r="D733" s="550"/>
      <c r="E733" s="550"/>
      <c r="F733" s="550"/>
      <c r="G733" s="550"/>
      <c r="H733" s="550"/>
      <c r="I733" s="550"/>
      <c r="J733" s="550"/>
    </row>
    <row r="734" spans="2:10" ht="15" customHeight="1">
      <c r="B734" s="550"/>
      <c r="C734" s="550"/>
      <c r="D734" s="550"/>
      <c r="E734" s="550"/>
      <c r="F734" s="550"/>
      <c r="G734" s="550"/>
      <c r="H734" s="550"/>
      <c r="I734" s="550"/>
      <c r="J734" s="550"/>
    </row>
    <row r="735" spans="2:10" ht="15" customHeight="1">
      <c r="B735" s="550"/>
      <c r="C735" s="550"/>
      <c r="D735" s="550"/>
      <c r="E735" s="550"/>
      <c r="F735" s="550"/>
      <c r="G735" s="550"/>
      <c r="H735" s="550"/>
      <c r="I735" s="550"/>
      <c r="J735" s="550"/>
    </row>
    <row r="736" spans="2:10" ht="15" customHeight="1">
      <c r="B736" s="550"/>
      <c r="C736" s="550"/>
      <c r="D736" s="550"/>
      <c r="E736" s="550"/>
      <c r="F736" s="550"/>
      <c r="G736" s="550"/>
      <c r="H736" s="550"/>
      <c r="I736" s="550"/>
      <c r="J736" s="550"/>
    </row>
    <row r="737" spans="2:10" ht="15" customHeight="1">
      <c r="B737" s="550"/>
      <c r="C737" s="550"/>
      <c r="D737" s="550"/>
      <c r="E737" s="550"/>
      <c r="F737" s="550"/>
      <c r="G737" s="550"/>
      <c r="H737" s="550"/>
      <c r="I737" s="550"/>
      <c r="J737" s="550"/>
    </row>
    <row r="738" spans="2:10" ht="15" customHeight="1">
      <c r="B738" s="550"/>
      <c r="C738" s="550"/>
      <c r="D738" s="550"/>
      <c r="E738" s="550"/>
      <c r="F738" s="550"/>
      <c r="G738" s="550"/>
      <c r="H738" s="550"/>
      <c r="I738" s="550"/>
      <c r="J738" s="550"/>
    </row>
    <row r="739" spans="2:10" ht="15" customHeight="1">
      <c r="B739" s="550"/>
      <c r="C739" s="550"/>
      <c r="D739" s="550"/>
      <c r="E739" s="550"/>
      <c r="F739" s="550"/>
      <c r="G739" s="550"/>
      <c r="H739" s="550"/>
      <c r="I739" s="550"/>
      <c r="J739" s="550"/>
    </row>
    <row r="740" spans="2:10" ht="15" customHeight="1">
      <c r="B740" s="550"/>
      <c r="C740" s="550"/>
      <c r="D740" s="550"/>
      <c r="E740" s="550"/>
      <c r="F740" s="550"/>
      <c r="G740" s="550"/>
      <c r="H740" s="550"/>
      <c r="I740" s="550"/>
      <c r="J740" s="550"/>
    </row>
    <row r="741" spans="2:10" ht="15" customHeight="1">
      <c r="B741" s="550"/>
      <c r="C741" s="550"/>
      <c r="D741" s="550"/>
      <c r="E741" s="550"/>
      <c r="F741" s="550"/>
      <c r="G741" s="550"/>
      <c r="H741" s="550"/>
      <c r="I741" s="550"/>
      <c r="J741" s="550"/>
    </row>
    <row r="742" spans="2:10" ht="15" customHeight="1">
      <c r="B742" s="550"/>
      <c r="C742" s="550"/>
      <c r="D742" s="550"/>
      <c r="E742" s="550"/>
      <c r="F742" s="550"/>
      <c r="G742" s="550"/>
      <c r="H742" s="550"/>
      <c r="I742" s="550"/>
      <c r="J742" s="550"/>
    </row>
    <row r="743" spans="2:10" ht="15" customHeight="1">
      <c r="B743" s="550"/>
      <c r="C743" s="550"/>
      <c r="D743" s="550"/>
      <c r="E743" s="550"/>
      <c r="F743" s="550"/>
      <c r="G743" s="550"/>
      <c r="H743" s="550"/>
      <c r="I743" s="550"/>
      <c r="J743" s="550"/>
    </row>
    <row r="744" spans="2:10" ht="15" customHeight="1">
      <c r="B744" s="550"/>
      <c r="C744" s="550"/>
      <c r="D744" s="550"/>
      <c r="E744" s="550"/>
      <c r="F744" s="550"/>
      <c r="G744" s="550"/>
      <c r="H744" s="550"/>
      <c r="I744" s="550"/>
      <c r="J744" s="550"/>
    </row>
    <row r="745" spans="2:10" ht="15" customHeight="1">
      <c r="B745" s="550"/>
      <c r="C745" s="550"/>
      <c r="D745" s="550"/>
      <c r="E745" s="550"/>
      <c r="F745" s="550"/>
      <c r="G745" s="550"/>
      <c r="H745" s="550"/>
      <c r="I745" s="550"/>
      <c r="J745" s="550"/>
    </row>
    <row r="746" spans="2:10" ht="15" customHeight="1">
      <c r="B746" s="550"/>
      <c r="C746" s="550"/>
      <c r="D746" s="550"/>
      <c r="E746" s="550"/>
      <c r="F746" s="550"/>
      <c r="G746" s="550"/>
      <c r="H746" s="550"/>
      <c r="I746" s="550"/>
      <c r="J746" s="550"/>
    </row>
    <row r="747" spans="2:10" ht="15" customHeight="1">
      <c r="B747" s="550"/>
      <c r="C747" s="550"/>
      <c r="D747" s="550"/>
      <c r="E747" s="550"/>
      <c r="F747" s="550"/>
      <c r="G747" s="550"/>
      <c r="H747" s="550"/>
      <c r="I747" s="550"/>
      <c r="J747" s="550"/>
    </row>
    <row r="748" spans="2:10" ht="15" customHeight="1">
      <c r="B748" s="550"/>
      <c r="C748" s="550"/>
      <c r="D748" s="550"/>
      <c r="E748" s="550"/>
      <c r="F748" s="550"/>
      <c r="G748" s="550"/>
      <c r="H748" s="550"/>
      <c r="I748" s="550"/>
      <c r="J748" s="550"/>
    </row>
    <row r="749" spans="2:10" ht="15" customHeight="1">
      <c r="B749" s="550"/>
      <c r="C749" s="550"/>
      <c r="D749" s="550"/>
      <c r="E749" s="550"/>
      <c r="F749" s="550"/>
      <c r="G749" s="550"/>
      <c r="H749" s="550"/>
      <c r="I749" s="550"/>
      <c r="J749" s="550"/>
    </row>
    <row r="750" spans="2:10" ht="15" customHeight="1">
      <c r="B750" s="550"/>
      <c r="C750" s="550"/>
      <c r="D750" s="550"/>
      <c r="E750" s="550"/>
      <c r="F750" s="550"/>
      <c r="G750" s="550"/>
      <c r="H750" s="550"/>
      <c r="I750" s="550"/>
      <c r="J750" s="550"/>
    </row>
    <row r="751" spans="2:10" ht="15" customHeight="1">
      <c r="B751" s="550"/>
      <c r="C751" s="550"/>
      <c r="D751" s="550"/>
      <c r="E751" s="550"/>
      <c r="F751" s="550"/>
      <c r="G751" s="550"/>
      <c r="H751" s="550"/>
      <c r="I751" s="550"/>
      <c r="J751" s="550"/>
    </row>
    <row r="752" spans="2:10" ht="15" customHeight="1">
      <c r="B752" s="550"/>
      <c r="C752" s="550"/>
      <c r="D752" s="550"/>
      <c r="E752" s="550"/>
      <c r="F752" s="550"/>
      <c r="G752" s="550"/>
      <c r="H752" s="550"/>
      <c r="I752" s="550"/>
      <c r="J752" s="550"/>
    </row>
    <row r="753" spans="2:10" ht="15" customHeight="1">
      <c r="B753" s="550"/>
      <c r="C753" s="550"/>
      <c r="D753" s="550"/>
      <c r="E753" s="550"/>
      <c r="F753" s="550"/>
      <c r="G753" s="550"/>
      <c r="H753" s="550"/>
      <c r="I753" s="550"/>
      <c r="J753" s="550"/>
    </row>
    <row r="754" spans="2:10" ht="15" customHeight="1">
      <c r="B754" s="550"/>
      <c r="C754" s="550"/>
      <c r="D754" s="550"/>
      <c r="E754" s="550"/>
      <c r="F754" s="550"/>
      <c r="G754" s="550"/>
      <c r="H754" s="550"/>
      <c r="I754" s="550"/>
      <c r="J754" s="550"/>
    </row>
    <row r="755" spans="2:10" ht="15" customHeight="1">
      <c r="B755" s="550"/>
      <c r="C755" s="550"/>
      <c r="D755" s="550"/>
      <c r="E755" s="550"/>
      <c r="F755" s="550"/>
      <c r="G755" s="550"/>
      <c r="H755" s="550"/>
      <c r="I755" s="550"/>
      <c r="J755" s="550"/>
    </row>
    <row r="756" spans="2:10" ht="15" customHeight="1">
      <c r="B756" s="550"/>
      <c r="C756" s="550"/>
      <c r="D756" s="550"/>
      <c r="E756" s="550"/>
      <c r="F756" s="550"/>
      <c r="G756" s="550"/>
      <c r="H756" s="550"/>
      <c r="I756" s="550"/>
      <c r="J756" s="550"/>
    </row>
    <row r="757" spans="2:10" ht="15" customHeight="1">
      <c r="B757" s="550"/>
      <c r="C757" s="550"/>
      <c r="D757" s="550"/>
      <c r="E757" s="550"/>
      <c r="F757" s="550"/>
      <c r="G757" s="550"/>
      <c r="H757" s="550"/>
      <c r="I757" s="550"/>
      <c r="J757" s="550"/>
    </row>
    <row r="758" spans="2:10" ht="15" customHeight="1">
      <c r="B758" s="550"/>
      <c r="C758" s="550"/>
      <c r="D758" s="550"/>
      <c r="E758" s="550"/>
      <c r="F758" s="550"/>
      <c r="G758" s="550"/>
      <c r="H758" s="550"/>
      <c r="I758" s="550"/>
      <c r="J758" s="550"/>
    </row>
    <row r="759" spans="2:10" ht="15" customHeight="1">
      <c r="B759" s="550"/>
      <c r="C759" s="550"/>
      <c r="D759" s="550"/>
      <c r="E759" s="550"/>
      <c r="F759" s="550"/>
      <c r="G759" s="550"/>
      <c r="H759" s="550"/>
      <c r="I759" s="550"/>
      <c r="J759" s="550"/>
    </row>
    <row r="760" spans="2:10" ht="15" customHeight="1">
      <c r="B760" s="550"/>
      <c r="C760" s="550"/>
      <c r="D760" s="550"/>
      <c r="E760" s="550"/>
      <c r="F760" s="550"/>
      <c r="G760" s="550"/>
      <c r="H760" s="550"/>
      <c r="I760" s="550"/>
      <c r="J760" s="550"/>
    </row>
    <row r="761" spans="2:10" ht="15" customHeight="1">
      <c r="B761" s="550"/>
      <c r="C761" s="550"/>
      <c r="D761" s="550"/>
      <c r="E761" s="550"/>
      <c r="F761" s="550"/>
      <c r="G761" s="550"/>
      <c r="H761" s="550"/>
      <c r="I761" s="550"/>
      <c r="J761" s="550"/>
    </row>
    <row r="762" spans="2:10" ht="15" customHeight="1">
      <c r="B762" s="550"/>
      <c r="C762" s="550"/>
      <c r="D762" s="550"/>
      <c r="E762" s="550"/>
      <c r="F762" s="550"/>
      <c r="G762" s="550"/>
      <c r="H762" s="550"/>
      <c r="I762" s="550"/>
      <c r="J762" s="550"/>
    </row>
    <row r="763" spans="2:10" ht="15" customHeight="1">
      <c r="B763" s="550"/>
      <c r="C763" s="550"/>
      <c r="D763" s="550"/>
      <c r="E763" s="550"/>
      <c r="F763" s="550"/>
      <c r="G763" s="550"/>
      <c r="H763" s="550"/>
      <c r="I763" s="550"/>
      <c r="J763" s="550"/>
    </row>
    <row r="764" spans="2:10" ht="15" customHeight="1">
      <c r="B764" s="550"/>
      <c r="C764" s="550"/>
      <c r="D764" s="550"/>
      <c r="E764" s="550"/>
      <c r="F764" s="550"/>
      <c r="G764" s="550"/>
      <c r="H764" s="550"/>
      <c r="I764" s="550"/>
      <c r="J764" s="550"/>
    </row>
    <row r="765" spans="2:10" ht="15" customHeight="1">
      <c r="B765" s="550"/>
      <c r="C765" s="550"/>
      <c r="D765" s="550"/>
      <c r="E765" s="550"/>
      <c r="F765" s="550"/>
      <c r="G765" s="550"/>
      <c r="H765" s="550"/>
      <c r="I765" s="550"/>
      <c r="J765" s="550"/>
    </row>
    <row r="766" spans="2:10" ht="15" customHeight="1">
      <c r="B766" s="550"/>
      <c r="C766" s="550"/>
      <c r="D766" s="550"/>
      <c r="E766" s="550"/>
      <c r="F766" s="550"/>
      <c r="G766" s="550"/>
      <c r="H766" s="550"/>
      <c r="I766" s="550"/>
      <c r="J766" s="550"/>
    </row>
    <row r="767" spans="2:10" ht="15" customHeight="1">
      <c r="B767" s="550"/>
      <c r="C767" s="550"/>
      <c r="D767" s="550"/>
      <c r="E767" s="550"/>
      <c r="F767" s="550"/>
      <c r="G767" s="550"/>
      <c r="H767" s="550"/>
      <c r="I767" s="550"/>
      <c r="J767" s="550"/>
    </row>
    <row r="768" spans="2:10" ht="15" customHeight="1">
      <c r="B768" s="550"/>
      <c r="C768" s="550"/>
      <c r="D768" s="550"/>
      <c r="E768" s="550"/>
      <c r="F768" s="550"/>
      <c r="G768" s="550"/>
      <c r="H768" s="550"/>
      <c r="I768" s="550"/>
      <c r="J768" s="550"/>
    </row>
    <row r="769" spans="2:10" ht="15" customHeight="1">
      <c r="B769" s="550"/>
      <c r="C769" s="550"/>
      <c r="D769" s="550"/>
      <c r="E769" s="550"/>
      <c r="F769" s="550"/>
      <c r="G769" s="550"/>
      <c r="H769" s="550"/>
      <c r="I769" s="550"/>
      <c r="J769" s="550"/>
    </row>
    <row r="770" spans="2:10" ht="15" customHeight="1">
      <c r="B770" s="550"/>
      <c r="C770" s="550"/>
      <c r="D770" s="550"/>
      <c r="E770" s="550"/>
      <c r="F770" s="550"/>
      <c r="G770" s="550"/>
      <c r="H770" s="550"/>
      <c r="I770" s="550"/>
      <c r="J770" s="550"/>
    </row>
    <row r="771" spans="2:10" ht="15" customHeight="1">
      <c r="B771" s="550"/>
      <c r="C771" s="550"/>
      <c r="D771" s="550"/>
      <c r="E771" s="550"/>
      <c r="F771" s="550"/>
      <c r="G771" s="550"/>
      <c r="H771" s="550"/>
      <c r="I771" s="550"/>
      <c r="J771" s="550"/>
    </row>
    <row r="772" spans="2:10" ht="15" customHeight="1">
      <c r="B772" s="550"/>
      <c r="C772" s="550"/>
      <c r="D772" s="550"/>
      <c r="E772" s="550"/>
      <c r="F772" s="550"/>
      <c r="G772" s="550"/>
      <c r="H772" s="550"/>
      <c r="I772" s="550"/>
      <c r="J772" s="550"/>
    </row>
    <row r="773" spans="2:10" ht="15" customHeight="1">
      <c r="B773" s="550"/>
      <c r="C773" s="550"/>
      <c r="D773" s="550"/>
      <c r="E773" s="550"/>
      <c r="F773" s="550"/>
      <c r="G773" s="550"/>
      <c r="H773" s="550"/>
      <c r="I773" s="550"/>
      <c r="J773" s="550"/>
    </row>
    <row r="774" spans="2:10" ht="15" customHeight="1">
      <c r="B774" s="550"/>
      <c r="C774" s="550"/>
      <c r="D774" s="550"/>
      <c r="E774" s="550"/>
      <c r="F774" s="550"/>
      <c r="G774" s="550"/>
      <c r="H774" s="550"/>
      <c r="I774" s="550"/>
      <c r="J774" s="550"/>
    </row>
    <row r="775" spans="2:10" ht="15" customHeight="1">
      <c r="B775" s="550"/>
      <c r="C775" s="550"/>
      <c r="D775" s="550"/>
      <c r="E775" s="550"/>
      <c r="F775" s="550"/>
      <c r="G775" s="550"/>
      <c r="H775" s="550"/>
      <c r="I775" s="550"/>
      <c r="J775" s="550"/>
    </row>
    <row r="776" spans="2:10" ht="15" customHeight="1">
      <c r="B776" s="550"/>
      <c r="C776" s="550"/>
      <c r="D776" s="550"/>
      <c r="E776" s="550"/>
      <c r="F776" s="550"/>
      <c r="G776" s="550"/>
      <c r="H776" s="550"/>
      <c r="I776" s="550"/>
      <c r="J776" s="550"/>
    </row>
    <row r="777" spans="2:10" ht="15" customHeight="1">
      <c r="B777" s="550"/>
      <c r="C777" s="550"/>
      <c r="D777" s="550"/>
      <c r="E777" s="550"/>
      <c r="F777" s="550"/>
      <c r="G777" s="550"/>
      <c r="H777" s="550"/>
      <c r="I777" s="550"/>
      <c r="J777" s="550"/>
    </row>
    <row r="778" spans="2:10" ht="15" customHeight="1">
      <c r="B778" s="550"/>
      <c r="C778" s="550"/>
      <c r="D778" s="550"/>
      <c r="E778" s="550"/>
      <c r="F778" s="550"/>
      <c r="G778" s="550"/>
      <c r="H778" s="550"/>
      <c r="I778" s="550"/>
      <c r="J778" s="550"/>
    </row>
    <row r="779" spans="2:10" ht="15" customHeight="1">
      <c r="B779" s="550"/>
      <c r="C779" s="550"/>
      <c r="D779" s="550"/>
      <c r="E779" s="550"/>
      <c r="F779" s="550"/>
      <c r="G779" s="550"/>
      <c r="H779" s="550"/>
      <c r="I779" s="550"/>
      <c r="J779" s="550"/>
    </row>
    <row r="780" spans="2:10" ht="15" customHeight="1">
      <c r="B780" s="550"/>
      <c r="C780" s="550"/>
      <c r="D780" s="550"/>
      <c r="E780" s="550"/>
      <c r="F780" s="550"/>
      <c r="G780" s="550"/>
      <c r="H780" s="550"/>
      <c r="I780" s="550"/>
      <c r="J780" s="550"/>
    </row>
    <row r="781" spans="2:10" ht="15" customHeight="1">
      <c r="B781" s="550"/>
      <c r="C781" s="550"/>
      <c r="D781" s="550"/>
      <c r="E781" s="550"/>
      <c r="F781" s="550"/>
      <c r="G781" s="550"/>
      <c r="H781" s="550"/>
      <c r="I781" s="550"/>
      <c r="J781" s="550"/>
    </row>
    <row r="782" spans="2:10" ht="15" customHeight="1">
      <c r="B782" s="550"/>
      <c r="C782" s="550"/>
      <c r="D782" s="550"/>
      <c r="E782" s="550"/>
      <c r="F782" s="550"/>
      <c r="G782" s="550"/>
      <c r="H782" s="550"/>
      <c r="I782" s="550"/>
      <c r="J782" s="550"/>
    </row>
    <row r="783" spans="2:10" ht="15" customHeight="1">
      <c r="B783" s="550"/>
      <c r="C783" s="550"/>
      <c r="D783" s="550"/>
      <c r="E783" s="550"/>
      <c r="F783" s="550"/>
      <c r="G783" s="550"/>
      <c r="H783" s="550"/>
      <c r="I783" s="550"/>
      <c r="J783" s="550"/>
    </row>
    <row r="784" spans="2:10" ht="15" customHeight="1">
      <c r="B784" s="550"/>
      <c r="C784" s="550"/>
      <c r="D784" s="550"/>
      <c r="E784" s="550"/>
      <c r="F784" s="550"/>
      <c r="G784" s="550"/>
      <c r="H784" s="550"/>
      <c r="I784" s="550"/>
      <c r="J784" s="550"/>
    </row>
    <row r="785" spans="2:10" ht="15" customHeight="1">
      <c r="B785" s="550"/>
      <c r="C785" s="550"/>
      <c r="D785" s="550"/>
      <c r="E785" s="550"/>
      <c r="F785" s="550"/>
      <c r="G785" s="550"/>
      <c r="H785" s="550"/>
      <c r="I785" s="550"/>
      <c r="J785" s="550"/>
    </row>
    <row r="786" spans="2:10" ht="15" customHeight="1">
      <c r="B786" s="550"/>
      <c r="C786" s="550"/>
      <c r="D786" s="550"/>
      <c r="E786" s="550"/>
      <c r="F786" s="550"/>
      <c r="G786" s="550"/>
      <c r="H786" s="550"/>
      <c r="I786" s="550"/>
      <c r="J786" s="550"/>
    </row>
    <row r="787" spans="2:10" ht="15" customHeight="1">
      <c r="B787" s="550"/>
      <c r="C787" s="550"/>
      <c r="D787" s="550"/>
      <c r="E787" s="550"/>
      <c r="F787" s="550"/>
      <c r="G787" s="550"/>
      <c r="H787" s="550"/>
      <c r="I787" s="550"/>
      <c r="J787" s="550"/>
    </row>
    <row r="788" spans="2:10" ht="15" customHeight="1">
      <c r="B788" s="550"/>
      <c r="C788" s="550"/>
      <c r="D788" s="550"/>
      <c r="E788" s="550"/>
      <c r="F788" s="550"/>
      <c r="G788" s="550"/>
      <c r="H788" s="550"/>
      <c r="I788" s="550"/>
      <c r="J788" s="550"/>
    </row>
    <row r="789" spans="2:10" ht="15" customHeight="1">
      <c r="B789" s="550"/>
      <c r="C789" s="550"/>
      <c r="D789" s="550"/>
      <c r="E789" s="550"/>
      <c r="F789" s="550"/>
      <c r="G789" s="550"/>
      <c r="H789" s="550"/>
      <c r="I789" s="550"/>
      <c r="J789" s="550"/>
    </row>
    <row r="790" spans="2:10" ht="15" customHeight="1">
      <c r="B790" s="550"/>
      <c r="C790" s="550"/>
      <c r="D790" s="550"/>
      <c r="E790" s="550"/>
      <c r="F790" s="550"/>
      <c r="G790" s="550"/>
      <c r="H790" s="550"/>
      <c r="I790" s="550"/>
      <c r="J790" s="550"/>
    </row>
    <row r="791" spans="2:10" ht="15" customHeight="1">
      <c r="B791" s="550"/>
      <c r="C791" s="550"/>
      <c r="D791" s="550"/>
      <c r="E791" s="550"/>
      <c r="F791" s="550"/>
      <c r="G791" s="550"/>
      <c r="H791" s="550"/>
      <c r="I791" s="550"/>
      <c r="J791" s="550"/>
    </row>
    <row r="792" spans="2:10" ht="15" customHeight="1">
      <c r="B792" s="550"/>
      <c r="C792" s="550"/>
      <c r="D792" s="550"/>
      <c r="E792" s="550"/>
      <c r="F792" s="550"/>
      <c r="G792" s="550"/>
      <c r="H792" s="550"/>
      <c r="I792" s="550"/>
      <c r="J792" s="550"/>
    </row>
    <row r="793" spans="2:10" ht="15" customHeight="1">
      <c r="B793" s="550"/>
      <c r="C793" s="550"/>
      <c r="D793" s="550"/>
      <c r="E793" s="550"/>
      <c r="F793" s="550"/>
      <c r="G793" s="550"/>
      <c r="H793" s="550"/>
      <c r="I793" s="550"/>
      <c r="J793" s="550"/>
    </row>
    <row r="794" spans="2:10" ht="15" customHeight="1">
      <c r="B794" s="550"/>
      <c r="C794" s="550"/>
      <c r="D794" s="550"/>
      <c r="E794" s="550"/>
      <c r="F794" s="550"/>
      <c r="G794" s="550"/>
      <c r="H794" s="550"/>
      <c r="I794" s="550"/>
      <c r="J794" s="550"/>
    </row>
    <row r="795" spans="2:10" ht="15" customHeight="1">
      <c r="B795" s="550"/>
      <c r="C795" s="550"/>
      <c r="D795" s="550"/>
      <c r="E795" s="550"/>
      <c r="F795" s="550"/>
      <c r="G795" s="550"/>
      <c r="H795" s="550"/>
      <c r="I795" s="550"/>
      <c r="J795" s="550"/>
    </row>
    <row r="796" spans="2:10" ht="15" customHeight="1">
      <c r="B796" s="550"/>
      <c r="C796" s="550"/>
      <c r="D796" s="550"/>
      <c r="E796" s="550"/>
      <c r="F796" s="550"/>
      <c r="G796" s="550"/>
      <c r="H796" s="550"/>
      <c r="I796" s="550"/>
      <c r="J796" s="550"/>
    </row>
    <row r="797" spans="2:10" ht="15" customHeight="1">
      <c r="B797" s="550"/>
      <c r="C797" s="550"/>
      <c r="D797" s="550"/>
      <c r="E797" s="550"/>
      <c r="F797" s="550"/>
      <c r="G797" s="550"/>
      <c r="H797" s="550"/>
      <c r="I797" s="550"/>
      <c r="J797" s="550"/>
    </row>
    <row r="798" spans="2:10" ht="15" customHeight="1">
      <c r="B798" s="550"/>
      <c r="C798" s="550"/>
      <c r="D798" s="550"/>
      <c r="E798" s="550"/>
      <c r="F798" s="550"/>
      <c r="G798" s="550"/>
      <c r="H798" s="550"/>
      <c r="I798" s="550"/>
      <c r="J798" s="550"/>
    </row>
    <row r="799" spans="2:10" ht="15" customHeight="1">
      <c r="B799" s="550"/>
      <c r="C799" s="550"/>
      <c r="D799" s="550"/>
      <c r="E799" s="550"/>
      <c r="F799" s="550"/>
      <c r="G799" s="550"/>
      <c r="H799" s="550"/>
      <c r="I799" s="550"/>
      <c r="J799" s="550"/>
    </row>
    <row r="800" spans="2:10" ht="15" customHeight="1">
      <c r="B800" s="550"/>
      <c r="C800" s="550"/>
      <c r="D800" s="550"/>
      <c r="E800" s="550"/>
      <c r="F800" s="550"/>
      <c r="G800" s="550"/>
      <c r="H800" s="550"/>
      <c r="I800" s="550"/>
      <c r="J800" s="550"/>
    </row>
    <row r="801" spans="2:10" ht="15" customHeight="1">
      <c r="B801" s="550"/>
      <c r="C801" s="550"/>
      <c r="D801" s="550"/>
      <c r="E801" s="550"/>
      <c r="F801" s="550"/>
      <c r="G801" s="550"/>
      <c r="H801" s="550"/>
      <c r="I801" s="550"/>
      <c r="J801" s="550"/>
    </row>
    <row r="802" spans="2:10" ht="15" customHeight="1">
      <c r="B802" s="550"/>
      <c r="C802" s="550"/>
      <c r="D802" s="550"/>
      <c r="E802" s="550"/>
      <c r="F802" s="550"/>
      <c r="G802" s="550"/>
      <c r="H802" s="550"/>
      <c r="I802" s="550"/>
      <c r="J802" s="550"/>
    </row>
    <row r="803" spans="2:10" ht="15" customHeight="1">
      <c r="B803" s="550"/>
      <c r="C803" s="550"/>
      <c r="D803" s="550"/>
      <c r="E803" s="550"/>
      <c r="F803" s="550"/>
      <c r="G803" s="550"/>
      <c r="H803" s="550"/>
      <c r="I803" s="550"/>
      <c r="J803" s="550"/>
    </row>
    <row r="804" spans="2:10" ht="15" customHeight="1">
      <c r="B804" s="550"/>
      <c r="C804" s="550"/>
      <c r="D804" s="550"/>
      <c r="E804" s="550"/>
      <c r="F804" s="550"/>
      <c r="G804" s="550"/>
      <c r="H804" s="550"/>
      <c r="I804" s="550"/>
      <c r="J804" s="550"/>
    </row>
    <row r="805" spans="2:10" ht="15" customHeight="1">
      <c r="B805" s="550"/>
      <c r="C805" s="550"/>
      <c r="D805" s="550"/>
      <c r="E805" s="550"/>
      <c r="F805" s="550"/>
      <c r="G805" s="550"/>
      <c r="H805" s="550"/>
      <c r="I805" s="550"/>
      <c r="J805" s="550"/>
    </row>
    <row r="806" spans="2:10" ht="15" customHeight="1">
      <c r="B806" s="550"/>
      <c r="C806" s="550"/>
      <c r="D806" s="550"/>
      <c r="E806" s="550"/>
      <c r="F806" s="550"/>
      <c r="G806" s="550"/>
      <c r="H806" s="550"/>
      <c r="I806" s="550"/>
      <c r="J806" s="550"/>
    </row>
    <row r="807" spans="2:10" ht="15" customHeight="1">
      <c r="B807" s="550"/>
      <c r="C807" s="550"/>
      <c r="D807" s="550"/>
      <c r="E807" s="550"/>
      <c r="F807" s="550"/>
      <c r="G807" s="550"/>
      <c r="H807" s="550"/>
      <c r="I807" s="550"/>
      <c r="J807" s="550"/>
    </row>
    <row r="808" spans="2:10" ht="15" customHeight="1">
      <c r="B808" s="550"/>
      <c r="C808" s="550"/>
      <c r="D808" s="550"/>
      <c r="E808" s="550"/>
      <c r="F808" s="550"/>
      <c r="G808" s="550"/>
      <c r="H808" s="550"/>
      <c r="I808" s="550"/>
      <c r="J808" s="550"/>
    </row>
    <row r="809" spans="2:10" ht="15" customHeight="1">
      <c r="B809" s="550"/>
      <c r="C809" s="550"/>
      <c r="D809" s="550"/>
      <c r="E809" s="550"/>
      <c r="F809" s="550"/>
      <c r="G809" s="550"/>
      <c r="H809" s="550"/>
      <c r="I809" s="550"/>
      <c r="J809" s="550"/>
    </row>
    <row r="810" spans="2:10" ht="15" customHeight="1">
      <c r="B810" s="550"/>
      <c r="C810" s="550"/>
      <c r="D810" s="550"/>
      <c r="E810" s="550"/>
      <c r="F810" s="550"/>
      <c r="G810" s="550"/>
      <c r="H810" s="550"/>
      <c r="I810" s="550"/>
      <c r="J810" s="550"/>
    </row>
    <row r="811" spans="2:10" ht="15" customHeight="1">
      <c r="B811" s="550"/>
      <c r="C811" s="550"/>
      <c r="D811" s="550"/>
      <c r="E811" s="550"/>
      <c r="F811" s="550"/>
      <c r="G811" s="550"/>
      <c r="H811" s="550"/>
      <c r="I811" s="550"/>
      <c r="J811" s="550"/>
    </row>
    <row r="812" spans="2:10" ht="15" customHeight="1">
      <c r="B812" s="550"/>
      <c r="C812" s="550"/>
      <c r="D812" s="550"/>
      <c r="E812" s="550"/>
      <c r="F812" s="550"/>
      <c r="G812" s="550"/>
      <c r="H812" s="550"/>
      <c r="I812" s="550"/>
      <c r="J812" s="550"/>
    </row>
    <row r="813" spans="2:10" ht="15" customHeight="1">
      <c r="B813" s="550"/>
      <c r="C813" s="550"/>
      <c r="D813" s="550"/>
      <c r="E813" s="550"/>
      <c r="F813" s="550"/>
      <c r="G813" s="550"/>
      <c r="H813" s="550"/>
      <c r="I813" s="550"/>
      <c r="J813" s="550"/>
    </row>
    <row r="814" spans="2:10" ht="15" customHeight="1">
      <c r="B814" s="550"/>
      <c r="C814" s="550"/>
      <c r="D814" s="550"/>
      <c r="E814" s="550"/>
      <c r="F814" s="550"/>
      <c r="G814" s="550"/>
      <c r="H814" s="550"/>
      <c r="I814" s="550"/>
      <c r="J814" s="550"/>
    </row>
    <row r="815" spans="2:10" ht="15" customHeight="1">
      <c r="B815" s="550"/>
      <c r="C815" s="550"/>
      <c r="D815" s="550"/>
      <c r="E815" s="550"/>
      <c r="F815" s="550"/>
      <c r="G815" s="550"/>
      <c r="H815" s="550"/>
      <c r="I815" s="550"/>
      <c r="J815" s="550"/>
    </row>
    <row r="816" spans="2:10" ht="15" customHeight="1">
      <c r="B816" s="550"/>
      <c r="C816" s="550"/>
      <c r="D816" s="550"/>
      <c r="E816" s="550"/>
      <c r="F816" s="550"/>
      <c r="G816" s="550"/>
      <c r="H816" s="550"/>
      <c r="I816" s="550"/>
      <c r="J816" s="550"/>
    </row>
    <row r="817" spans="2:10" ht="15" customHeight="1">
      <c r="B817" s="550"/>
      <c r="C817" s="550"/>
      <c r="D817" s="550"/>
      <c r="E817" s="550"/>
      <c r="F817" s="550"/>
      <c r="G817" s="550"/>
      <c r="H817" s="550"/>
      <c r="I817" s="550"/>
      <c r="J817" s="550"/>
    </row>
    <row r="818" spans="2:10" ht="15" customHeight="1">
      <c r="B818" s="550"/>
      <c r="C818" s="550"/>
      <c r="D818" s="550"/>
      <c r="E818" s="550"/>
      <c r="F818" s="550"/>
      <c r="G818" s="550"/>
      <c r="H818" s="550"/>
      <c r="I818" s="550"/>
      <c r="J818" s="550"/>
    </row>
    <row r="819" spans="2:10" ht="15" customHeight="1">
      <c r="B819" s="550"/>
      <c r="C819" s="550"/>
      <c r="D819" s="550"/>
      <c r="E819" s="550"/>
      <c r="F819" s="550"/>
      <c r="G819" s="550"/>
      <c r="H819" s="550"/>
      <c r="I819" s="550"/>
      <c r="J819" s="550"/>
    </row>
    <row r="820" spans="2:10" ht="15" customHeight="1">
      <c r="B820" s="550"/>
      <c r="C820" s="550"/>
      <c r="D820" s="550"/>
      <c r="E820" s="550"/>
      <c r="F820" s="550"/>
      <c r="G820" s="550"/>
      <c r="H820" s="550"/>
      <c r="I820" s="550"/>
      <c r="J820" s="550"/>
    </row>
    <row r="821" spans="2:10" ht="15" customHeight="1">
      <c r="B821" s="550"/>
      <c r="C821" s="550"/>
      <c r="D821" s="550"/>
      <c r="E821" s="550"/>
      <c r="F821" s="550"/>
      <c r="G821" s="550"/>
      <c r="H821" s="550"/>
      <c r="I821" s="550"/>
      <c r="J821" s="550"/>
    </row>
    <row r="822" spans="2:10" ht="15" customHeight="1">
      <c r="B822" s="550"/>
      <c r="C822" s="550"/>
      <c r="D822" s="550"/>
      <c r="E822" s="550"/>
      <c r="F822" s="550"/>
      <c r="G822" s="550"/>
      <c r="H822" s="550"/>
      <c r="I822" s="550"/>
      <c r="J822" s="550"/>
    </row>
    <row r="823" spans="2:10" ht="15" customHeight="1">
      <c r="B823" s="550"/>
      <c r="C823" s="550"/>
      <c r="D823" s="550"/>
      <c r="E823" s="550"/>
      <c r="F823" s="550"/>
      <c r="G823" s="550"/>
      <c r="H823" s="550"/>
      <c r="I823" s="550"/>
      <c r="J823" s="550"/>
    </row>
    <row r="824" spans="2:10" ht="15" customHeight="1">
      <c r="B824" s="550"/>
      <c r="C824" s="550"/>
      <c r="D824" s="550"/>
      <c r="E824" s="550"/>
      <c r="F824" s="550"/>
      <c r="G824" s="550"/>
      <c r="H824" s="550"/>
      <c r="I824" s="550"/>
      <c r="J824" s="550"/>
    </row>
    <row r="825" spans="2:10" ht="15" customHeight="1">
      <c r="B825" s="550"/>
      <c r="C825" s="550"/>
      <c r="D825" s="550"/>
      <c r="E825" s="550"/>
      <c r="F825" s="550"/>
      <c r="G825" s="550"/>
      <c r="H825" s="550"/>
      <c r="I825" s="550"/>
      <c r="J825" s="550"/>
    </row>
    <row r="826" spans="2:10" ht="15" customHeight="1">
      <c r="B826" s="550"/>
      <c r="C826" s="550"/>
      <c r="D826" s="550"/>
      <c r="E826" s="550"/>
      <c r="F826" s="550"/>
      <c r="G826" s="550"/>
      <c r="H826" s="550"/>
      <c r="I826" s="550"/>
      <c r="J826" s="550"/>
    </row>
    <row r="827" spans="2:10" ht="15" customHeight="1">
      <c r="B827" s="550"/>
      <c r="C827" s="550"/>
      <c r="D827" s="550"/>
      <c r="E827" s="550"/>
      <c r="F827" s="550"/>
      <c r="G827" s="550"/>
      <c r="H827" s="550"/>
      <c r="I827" s="550"/>
      <c r="J827" s="550"/>
    </row>
    <row r="828" spans="2:10" ht="15" customHeight="1">
      <c r="B828" s="550"/>
      <c r="C828" s="550"/>
      <c r="D828" s="550"/>
      <c r="E828" s="550"/>
      <c r="F828" s="550"/>
      <c r="G828" s="550"/>
      <c r="H828" s="550"/>
      <c r="I828" s="550"/>
      <c r="J828" s="550"/>
    </row>
    <row r="829" spans="2:10" ht="15" customHeight="1">
      <c r="B829" s="550"/>
      <c r="C829" s="550"/>
      <c r="D829" s="550"/>
      <c r="E829" s="550"/>
      <c r="F829" s="550"/>
      <c r="G829" s="550"/>
      <c r="H829" s="550"/>
      <c r="I829" s="550"/>
      <c r="J829" s="550"/>
    </row>
    <row r="830" spans="2:10" ht="15" customHeight="1">
      <c r="B830" s="550"/>
      <c r="C830" s="550"/>
      <c r="D830" s="550"/>
      <c r="E830" s="550"/>
      <c r="F830" s="550"/>
      <c r="G830" s="550"/>
      <c r="H830" s="550"/>
      <c r="I830" s="550"/>
      <c r="J830" s="550"/>
    </row>
    <row r="831" spans="2:10" ht="15" customHeight="1">
      <c r="B831" s="550"/>
      <c r="C831" s="550"/>
      <c r="D831" s="550"/>
      <c r="E831" s="550"/>
      <c r="F831" s="550"/>
      <c r="G831" s="550"/>
      <c r="H831" s="550"/>
      <c r="I831" s="550"/>
      <c r="J831" s="550"/>
    </row>
    <row r="832" spans="2:10" ht="15" customHeight="1">
      <c r="B832" s="550"/>
      <c r="C832" s="550"/>
      <c r="D832" s="550"/>
      <c r="E832" s="550"/>
      <c r="F832" s="550"/>
      <c r="G832" s="550"/>
      <c r="H832" s="550"/>
      <c r="I832" s="550"/>
      <c r="J832" s="550"/>
    </row>
    <row r="833" spans="2:10" ht="15" customHeight="1">
      <c r="B833" s="550"/>
      <c r="C833" s="550"/>
      <c r="D833" s="550"/>
      <c r="E833" s="550"/>
      <c r="F833" s="550"/>
      <c r="G833" s="550"/>
      <c r="H833" s="550"/>
      <c r="I833" s="550"/>
      <c r="J833" s="550"/>
    </row>
    <row r="834" spans="2:10" ht="15" customHeight="1">
      <c r="B834" s="550"/>
      <c r="C834" s="550"/>
      <c r="D834" s="550"/>
      <c r="E834" s="550"/>
      <c r="F834" s="550"/>
      <c r="G834" s="550"/>
      <c r="H834" s="550"/>
      <c r="I834" s="550"/>
      <c r="J834" s="550"/>
    </row>
    <row r="835" spans="2:10" ht="15" customHeight="1">
      <c r="B835" s="550"/>
      <c r="C835" s="550"/>
      <c r="D835" s="550"/>
      <c r="E835" s="550"/>
      <c r="F835" s="550"/>
      <c r="G835" s="550"/>
      <c r="H835" s="550"/>
      <c r="I835" s="550"/>
      <c r="J835" s="550"/>
    </row>
    <row r="836" spans="2:10" ht="15" customHeight="1">
      <c r="B836" s="550"/>
      <c r="C836" s="550"/>
      <c r="D836" s="550"/>
      <c r="E836" s="550"/>
      <c r="F836" s="550"/>
      <c r="G836" s="550"/>
      <c r="H836" s="550"/>
      <c r="I836" s="550"/>
      <c r="J836" s="550"/>
    </row>
    <row r="837" spans="2:10" ht="15" customHeight="1">
      <c r="B837" s="550"/>
      <c r="C837" s="550"/>
      <c r="D837" s="550"/>
      <c r="E837" s="550"/>
      <c r="F837" s="550"/>
      <c r="G837" s="550"/>
      <c r="H837" s="550"/>
      <c r="I837" s="550"/>
      <c r="J837" s="550"/>
    </row>
    <row r="838" spans="2:10" ht="15" customHeight="1">
      <c r="B838" s="550"/>
      <c r="C838" s="550"/>
      <c r="D838" s="550"/>
      <c r="E838" s="550"/>
      <c r="F838" s="550"/>
      <c r="G838" s="550"/>
      <c r="H838" s="550"/>
      <c r="I838" s="550"/>
      <c r="J838" s="550"/>
    </row>
    <row r="839" spans="2:10" ht="15" customHeight="1">
      <c r="B839" s="550"/>
      <c r="C839" s="550"/>
      <c r="D839" s="550"/>
      <c r="E839" s="550"/>
      <c r="F839" s="550"/>
      <c r="G839" s="550"/>
      <c r="H839" s="550"/>
      <c r="I839" s="550"/>
      <c r="J839" s="550"/>
    </row>
    <row r="840" spans="2:10" ht="15" customHeight="1">
      <c r="B840" s="550"/>
      <c r="C840" s="550"/>
      <c r="D840" s="550"/>
      <c r="E840" s="550"/>
      <c r="F840" s="550"/>
      <c r="G840" s="550"/>
      <c r="H840" s="550"/>
      <c r="I840" s="550"/>
      <c r="J840" s="550"/>
    </row>
    <row r="841" spans="2:10" ht="15" customHeight="1">
      <c r="B841" s="550"/>
      <c r="C841" s="550"/>
      <c r="D841" s="550"/>
      <c r="E841" s="550"/>
      <c r="F841" s="550"/>
      <c r="G841" s="550"/>
      <c r="H841" s="550"/>
      <c r="I841" s="550"/>
      <c r="J841" s="550"/>
    </row>
    <row r="842" spans="2:10" ht="15" customHeight="1">
      <c r="B842" s="550"/>
      <c r="C842" s="550"/>
      <c r="D842" s="550"/>
      <c r="E842" s="550"/>
      <c r="F842" s="550"/>
      <c r="G842" s="550"/>
      <c r="H842" s="550"/>
      <c r="I842" s="550"/>
      <c r="J842" s="550"/>
    </row>
    <row r="843" spans="2:10" ht="15" customHeight="1">
      <c r="B843" s="550"/>
      <c r="C843" s="550"/>
      <c r="D843" s="550"/>
      <c r="E843" s="550"/>
      <c r="F843" s="550"/>
      <c r="G843" s="550"/>
      <c r="H843" s="550"/>
      <c r="I843" s="550"/>
      <c r="J843" s="550"/>
    </row>
    <row r="844" spans="2:10" ht="15" customHeight="1">
      <c r="B844" s="550"/>
      <c r="C844" s="550"/>
      <c r="D844" s="550"/>
      <c r="E844" s="550"/>
      <c r="F844" s="550"/>
      <c r="G844" s="550"/>
      <c r="H844" s="550"/>
      <c r="I844" s="550"/>
      <c r="J844" s="550"/>
    </row>
    <row r="845" spans="2:10" ht="15" customHeight="1">
      <c r="B845" s="550"/>
      <c r="C845" s="550"/>
      <c r="D845" s="550"/>
      <c r="E845" s="550"/>
      <c r="F845" s="550"/>
      <c r="G845" s="550"/>
      <c r="H845" s="550"/>
      <c r="I845" s="550"/>
      <c r="J845" s="550"/>
    </row>
    <row r="846" spans="2:10" ht="15" customHeight="1">
      <c r="B846" s="550"/>
      <c r="C846" s="550"/>
      <c r="D846" s="550"/>
      <c r="E846" s="550"/>
      <c r="F846" s="550"/>
      <c r="G846" s="550"/>
      <c r="H846" s="550"/>
      <c r="I846" s="550"/>
      <c r="J846" s="550"/>
    </row>
    <row r="847" spans="2:10" ht="15" customHeight="1">
      <c r="B847" s="550"/>
      <c r="C847" s="550"/>
      <c r="D847" s="550"/>
      <c r="E847" s="550"/>
      <c r="F847" s="550"/>
      <c r="G847" s="550"/>
      <c r="H847" s="550"/>
      <c r="I847" s="550"/>
      <c r="J847" s="550"/>
    </row>
    <row r="848" spans="2:10" ht="15" customHeight="1">
      <c r="B848" s="550"/>
      <c r="C848" s="550"/>
      <c r="D848" s="550"/>
      <c r="E848" s="550"/>
      <c r="F848" s="550"/>
      <c r="G848" s="550"/>
      <c r="H848" s="550"/>
      <c r="I848" s="550"/>
      <c r="J848" s="550"/>
    </row>
    <row r="849" spans="2:10" ht="15" customHeight="1">
      <c r="B849" s="550"/>
      <c r="C849" s="550"/>
      <c r="D849" s="550"/>
      <c r="E849" s="550"/>
      <c r="F849" s="550"/>
      <c r="G849" s="550"/>
      <c r="H849" s="550"/>
      <c r="I849" s="550"/>
      <c r="J849" s="550"/>
    </row>
    <row r="850" spans="2:10" ht="15" customHeight="1">
      <c r="B850" s="550"/>
      <c r="C850" s="550"/>
      <c r="D850" s="550"/>
      <c r="E850" s="550"/>
      <c r="F850" s="550"/>
      <c r="G850" s="550"/>
      <c r="H850" s="550"/>
      <c r="I850" s="550"/>
      <c r="J850" s="550"/>
    </row>
    <row r="851" spans="2:10" ht="15" customHeight="1">
      <c r="B851" s="550"/>
      <c r="C851" s="550"/>
      <c r="D851" s="550"/>
      <c r="E851" s="550"/>
      <c r="F851" s="550"/>
      <c r="G851" s="550"/>
      <c r="H851" s="550"/>
      <c r="I851" s="550"/>
      <c r="J851" s="550"/>
    </row>
    <row r="852" spans="2:10" ht="15" customHeight="1">
      <c r="B852" s="550"/>
      <c r="C852" s="550"/>
      <c r="D852" s="550"/>
      <c r="E852" s="550"/>
      <c r="F852" s="550"/>
      <c r="G852" s="550"/>
      <c r="H852" s="550"/>
      <c r="I852" s="550"/>
      <c r="J852" s="550"/>
    </row>
    <row r="853" spans="2:10" ht="15" customHeight="1">
      <c r="B853" s="550"/>
      <c r="C853" s="550"/>
      <c r="D853" s="550"/>
      <c r="E853" s="550"/>
      <c r="F853" s="550"/>
      <c r="G853" s="550"/>
      <c r="H853" s="550"/>
      <c r="I853" s="550"/>
      <c r="J853" s="550"/>
    </row>
    <row r="854" spans="2:10" ht="15" customHeight="1">
      <c r="B854" s="550"/>
      <c r="C854" s="550"/>
      <c r="D854" s="550"/>
      <c r="E854" s="550"/>
      <c r="F854" s="550"/>
      <c r="G854" s="550"/>
      <c r="H854" s="550"/>
      <c r="I854" s="550"/>
      <c r="J854" s="550"/>
    </row>
    <row r="855" spans="2:10" ht="15" customHeight="1">
      <c r="B855" s="550"/>
      <c r="C855" s="550"/>
      <c r="D855" s="550"/>
      <c r="E855" s="550"/>
      <c r="F855" s="550"/>
      <c r="G855" s="550"/>
      <c r="H855" s="550"/>
      <c r="I855" s="550"/>
      <c r="J855" s="550"/>
    </row>
    <row r="856" spans="2:10" ht="15" customHeight="1">
      <c r="B856" s="550"/>
      <c r="C856" s="550"/>
      <c r="D856" s="550"/>
      <c r="E856" s="550"/>
      <c r="F856" s="550"/>
      <c r="G856" s="550"/>
      <c r="H856" s="550"/>
      <c r="I856" s="550"/>
      <c r="J856" s="550"/>
    </row>
    <row r="857" spans="2:10" ht="15" customHeight="1">
      <c r="B857" s="550"/>
      <c r="C857" s="550"/>
      <c r="D857" s="550"/>
      <c r="E857" s="550"/>
      <c r="F857" s="550"/>
      <c r="G857" s="550"/>
      <c r="H857" s="550"/>
      <c r="I857" s="550"/>
      <c r="J857" s="550"/>
    </row>
    <row r="858" spans="2:10" ht="15" customHeight="1">
      <c r="B858" s="550"/>
      <c r="C858" s="550"/>
      <c r="D858" s="550"/>
      <c r="E858" s="550"/>
      <c r="F858" s="550"/>
      <c r="G858" s="550"/>
      <c r="H858" s="550"/>
      <c r="I858" s="550"/>
      <c r="J858" s="550"/>
    </row>
    <row r="859" spans="2:10" ht="15" customHeight="1">
      <c r="B859" s="550"/>
      <c r="C859" s="550"/>
      <c r="D859" s="550"/>
      <c r="E859" s="550"/>
      <c r="F859" s="550"/>
      <c r="G859" s="550"/>
      <c r="H859" s="550"/>
      <c r="I859" s="550"/>
      <c r="J859" s="550"/>
    </row>
    <row r="860" spans="2:10" ht="15" customHeight="1">
      <c r="B860" s="550"/>
      <c r="C860" s="550"/>
      <c r="D860" s="550"/>
      <c r="E860" s="550"/>
      <c r="F860" s="550"/>
      <c r="G860" s="550"/>
      <c r="H860" s="550"/>
      <c r="I860" s="550"/>
      <c r="J860" s="550"/>
    </row>
    <row r="861" spans="2:10" ht="15" customHeight="1">
      <c r="B861" s="550"/>
      <c r="C861" s="550"/>
      <c r="D861" s="550"/>
      <c r="E861" s="550"/>
      <c r="F861" s="550"/>
      <c r="G861" s="550"/>
      <c r="H861" s="550"/>
      <c r="I861" s="550"/>
      <c r="J861" s="550"/>
    </row>
    <row r="862" spans="2:10" ht="15" customHeight="1">
      <c r="B862" s="550"/>
      <c r="C862" s="550"/>
      <c r="D862" s="550"/>
      <c r="E862" s="550"/>
      <c r="F862" s="550"/>
      <c r="G862" s="550"/>
      <c r="H862" s="550"/>
      <c r="I862" s="550"/>
      <c r="J862" s="550"/>
    </row>
    <row r="863" spans="2:10" ht="15" customHeight="1">
      <c r="B863" s="550"/>
      <c r="C863" s="550"/>
      <c r="D863" s="550"/>
      <c r="E863" s="550"/>
      <c r="F863" s="550"/>
      <c r="G863" s="550"/>
      <c r="H863" s="550"/>
      <c r="I863" s="550"/>
      <c r="J863" s="550"/>
    </row>
    <row r="864" spans="2:10" ht="15" customHeight="1">
      <c r="B864" s="550"/>
      <c r="C864" s="550"/>
      <c r="D864" s="550"/>
      <c r="E864" s="550"/>
      <c r="F864" s="550"/>
      <c r="G864" s="550"/>
      <c r="H864" s="550"/>
      <c r="I864" s="550"/>
      <c r="J864" s="550"/>
    </row>
    <row r="865" spans="2:10" ht="15" customHeight="1">
      <c r="B865" s="550"/>
      <c r="C865" s="550"/>
      <c r="D865" s="550"/>
      <c r="E865" s="550"/>
      <c r="F865" s="550"/>
      <c r="G865" s="550"/>
      <c r="H865" s="550"/>
      <c r="I865" s="550"/>
      <c r="J865" s="550"/>
    </row>
    <row r="866" spans="2:10" ht="15" customHeight="1">
      <c r="B866" s="550"/>
      <c r="C866" s="550"/>
      <c r="D866" s="550"/>
      <c r="E866" s="550"/>
      <c r="F866" s="550"/>
      <c r="G866" s="550"/>
      <c r="H866" s="550"/>
      <c r="I866" s="550"/>
      <c r="J866" s="550"/>
    </row>
    <row r="867" spans="2:10" ht="15" customHeight="1">
      <c r="B867" s="550"/>
      <c r="C867" s="550"/>
      <c r="D867" s="550"/>
      <c r="E867" s="550"/>
      <c r="F867" s="550"/>
      <c r="G867" s="550"/>
      <c r="H867" s="550"/>
      <c r="I867" s="550"/>
      <c r="J867" s="550"/>
    </row>
    <row r="868" spans="2:10" ht="15" customHeight="1">
      <c r="B868" s="550"/>
      <c r="C868" s="550"/>
      <c r="D868" s="550"/>
      <c r="E868" s="550"/>
      <c r="F868" s="550"/>
      <c r="G868" s="550"/>
      <c r="H868" s="550"/>
      <c r="I868" s="550"/>
      <c r="J868" s="550"/>
    </row>
    <row r="869" spans="2:10" ht="15" customHeight="1">
      <c r="B869" s="550"/>
      <c r="C869" s="550"/>
      <c r="D869" s="550"/>
      <c r="E869" s="550"/>
      <c r="F869" s="550"/>
      <c r="G869" s="550"/>
      <c r="H869" s="550"/>
      <c r="I869" s="550"/>
      <c r="J869" s="550"/>
    </row>
    <row r="870" spans="2:10" ht="15" customHeight="1">
      <c r="B870" s="550"/>
      <c r="C870" s="550"/>
      <c r="D870" s="550"/>
      <c r="E870" s="550"/>
      <c r="F870" s="550"/>
      <c r="G870" s="550"/>
      <c r="H870" s="550"/>
      <c r="I870" s="550"/>
      <c r="J870" s="550"/>
    </row>
    <row r="871" spans="2:10" ht="15" customHeight="1">
      <c r="B871" s="550"/>
      <c r="C871" s="550"/>
      <c r="D871" s="550"/>
      <c r="E871" s="550"/>
      <c r="F871" s="550"/>
      <c r="G871" s="550"/>
      <c r="H871" s="550"/>
      <c r="I871" s="550"/>
      <c r="J871" s="550"/>
    </row>
    <row r="872" spans="2:10" ht="15" customHeight="1">
      <c r="B872" s="550"/>
      <c r="C872" s="550"/>
      <c r="D872" s="550"/>
      <c r="E872" s="550"/>
      <c r="F872" s="550"/>
      <c r="G872" s="550"/>
      <c r="H872" s="550"/>
      <c r="I872" s="550"/>
      <c r="J872" s="550"/>
    </row>
    <row r="873" spans="2:10" ht="15" customHeight="1">
      <c r="B873" s="550"/>
      <c r="C873" s="550"/>
      <c r="D873" s="550"/>
      <c r="E873" s="550"/>
      <c r="F873" s="550"/>
      <c r="G873" s="550"/>
      <c r="H873" s="550"/>
      <c r="I873" s="550"/>
      <c r="J873" s="550"/>
    </row>
    <row r="874" spans="2:10" ht="15" customHeight="1">
      <c r="B874" s="550"/>
      <c r="C874" s="550"/>
      <c r="D874" s="550"/>
      <c r="E874" s="550"/>
      <c r="F874" s="550"/>
      <c r="G874" s="550"/>
      <c r="H874" s="550"/>
      <c r="I874" s="550"/>
      <c r="J874" s="550"/>
    </row>
    <row r="875" spans="2:10" ht="15" customHeight="1">
      <c r="B875" s="550"/>
      <c r="C875" s="550"/>
      <c r="D875" s="550"/>
      <c r="E875" s="550"/>
      <c r="F875" s="550"/>
      <c r="G875" s="550"/>
      <c r="H875" s="550"/>
      <c r="I875" s="550"/>
      <c r="J875" s="550"/>
    </row>
    <row r="876" spans="2:10" ht="15" customHeight="1">
      <c r="B876" s="550"/>
      <c r="C876" s="550"/>
      <c r="D876" s="550"/>
      <c r="E876" s="550"/>
      <c r="F876" s="550"/>
      <c r="G876" s="550"/>
      <c r="H876" s="550"/>
      <c r="I876" s="550"/>
      <c r="J876" s="550"/>
    </row>
    <row r="877" spans="2:10" ht="15" customHeight="1">
      <c r="B877" s="550"/>
      <c r="C877" s="550"/>
      <c r="D877" s="550"/>
      <c r="E877" s="550"/>
      <c r="F877" s="550"/>
      <c r="G877" s="550"/>
      <c r="H877" s="550"/>
      <c r="I877" s="550"/>
      <c r="J877" s="550"/>
    </row>
    <row r="878" spans="2:10" ht="15" customHeight="1">
      <c r="B878" s="550"/>
      <c r="C878" s="550"/>
      <c r="D878" s="550"/>
      <c r="E878" s="550"/>
      <c r="F878" s="550"/>
      <c r="G878" s="550"/>
      <c r="H878" s="550"/>
      <c r="I878" s="550"/>
      <c r="J878" s="550"/>
    </row>
    <row r="879" spans="2:10" ht="15" customHeight="1">
      <c r="B879" s="550"/>
      <c r="C879" s="550"/>
      <c r="D879" s="550"/>
      <c r="E879" s="550"/>
      <c r="F879" s="550"/>
      <c r="G879" s="550"/>
      <c r="H879" s="550"/>
      <c r="I879" s="550"/>
      <c r="J879" s="550"/>
    </row>
    <row r="880" spans="2:10" ht="15" customHeight="1">
      <c r="B880" s="550"/>
      <c r="C880" s="550"/>
      <c r="D880" s="550"/>
      <c r="E880" s="550"/>
      <c r="F880" s="550"/>
      <c r="G880" s="550"/>
      <c r="H880" s="550"/>
      <c r="I880" s="550"/>
      <c r="J880" s="550"/>
    </row>
    <row r="881" spans="2:10" ht="15" customHeight="1">
      <c r="B881" s="550"/>
      <c r="C881" s="550"/>
      <c r="D881" s="550"/>
      <c r="E881" s="550"/>
      <c r="F881" s="550"/>
      <c r="G881" s="550"/>
      <c r="H881" s="550"/>
      <c r="I881" s="550"/>
      <c r="J881" s="550"/>
    </row>
    <row r="882" spans="2:10" ht="15" customHeight="1">
      <c r="B882" s="550"/>
      <c r="C882" s="550"/>
      <c r="D882" s="550"/>
      <c r="E882" s="550"/>
      <c r="F882" s="550"/>
      <c r="G882" s="550"/>
      <c r="H882" s="550"/>
      <c r="I882" s="550"/>
      <c r="J882" s="550"/>
    </row>
    <row r="883" spans="2:10" ht="15" customHeight="1">
      <c r="B883" s="550"/>
      <c r="C883" s="550"/>
      <c r="D883" s="550"/>
      <c r="E883" s="550"/>
      <c r="F883" s="550"/>
      <c r="G883" s="550"/>
      <c r="H883" s="550"/>
      <c r="I883" s="550"/>
      <c r="J883" s="550"/>
    </row>
    <row r="884" spans="2:10" ht="15" customHeight="1">
      <c r="B884" s="550"/>
      <c r="C884" s="550"/>
      <c r="D884" s="550"/>
      <c r="E884" s="550"/>
      <c r="F884" s="550"/>
      <c r="G884" s="550"/>
      <c r="H884" s="550"/>
      <c r="I884" s="550"/>
      <c r="J884" s="550"/>
    </row>
    <row r="885" spans="2:10" ht="15" customHeight="1">
      <c r="B885" s="550"/>
      <c r="C885" s="550"/>
      <c r="D885" s="550"/>
      <c r="E885" s="550"/>
      <c r="F885" s="550"/>
      <c r="G885" s="550"/>
      <c r="H885" s="550"/>
      <c r="I885" s="550"/>
      <c r="J885" s="550"/>
    </row>
    <row r="886" spans="2:10" ht="15" customHeight="1">
      <c r="B886" s="550"/>
      <c r="C886" s="550"/>
      <c r="D886" s="550"/>
      <c r="E886" s="550"/>
      <c r="F886" s="550"/>
      <c r="G886" s="550"/>
      <c r="H886" s="550"/>
      <c r="I886" s="550"/>
      <c r="J886" s="550"/>
    </row>
    <row r="887" spans="2:10" ht="15" customHeight="1">
      <c r="B887" s="550"/>
      <c r="C887" s="550"/>
      <c r="D887" s="550"/>
      <c r="E887" s="550"/>
      <c r="F887" s="550"/>
      <c r="G887" s="550"/>
      <c r="H887" s="550"/>
      <c r="I887" s="550"/>
      <c r="J887" s="550"/>
    </row>
    <row r="888" spans="2:10" ht="15" customHeight="1">
      <c r="B888" s="550"/>
      <c r="C888" s="550"/>
      <c r="D888" s="550"/>
      <c r="E888" s="550"/>
      <c r="F888" s="550"/>
      <c r="G888" s="550"/>
      <c r="H888" s="550"/>
      <c r="I888" s="550"/>
      <c r="J888" s="550"/>
    </row>
    <row r="889" spans="2:10" ht="15" customHeight="1">
      <c r="B889" s="550"/>
      <c r="C889" s="550"/>
      <c r="D889" s="550"/>
      <c r="E889" s="550"/>
      <c r="F889" s="550"/>
      <c r="G889" s="550"/>
      <c r="H889" s="550"/>
      <c r="I889" s="550"/>
      <c r="J889" s="550"/>
    </row>
    <row r="890" spans="2:10" ht="15" customHeight="1">
      <c r="B890" s="550"/>
      <c r="C890" s="550"/>
      <c r="D890" s="550"/>
      <c r="E890" s="550"/>
      <c r="F890" s="550"/>
      <c r="G890" s="550"/>
      <c r="H890" s="550"/>
      <c r="I890" s="550"/>
      <c r="J890" s="550"/>
    </row>
    <row r="891" spans="2:10" ht="15" customHeight="1">
      <c r="B891" s="550"/>
      <c r="C891" s="550"/>
      <c r="D891" s="550"/>
      <c r="E891" s="550"/>
      <c r="F891" s="550"/>
      <c r="G891" s="550"/>
      <c r="H891" s="550"/>
      <c r="I891" s="550"/>
      <c r="J891" s="550"/>
    </row>
    <row r="892" spans="2:10" ht="15" customHeight="1">
      <c r="B892" s="550"/>
      <c r="C892" s="550"/>
      <c r="D892" s="550"/>
      <c r="E892" s="550"/>
      <c r="F892" s="550"/>
      <c r="G892" s="550"/>
      <c r="H892" s="550"/>
      <c r="I892" s="550"/>
      <c r="J892" s="550"/>
    </row>
    <row r="893" spans="2:10" ht="15" customHeight="1">
      <c r="B893" s="550"/>
      <c r="C893" s="550"/>
      <c r="D893" s="550"/>
      <c r="E893" s="550"/>
      <c r="F893" s="550"/>
      <c r="G893" s="550"/>
      <c r="H893" s="550"/>
      <c r="I893" s="550"/>
      <c r="J893" s="550"/>
    </row>
    <row r="894" spans="2:10" ht="15" customHeight="1">
      <c r="B894" s="550"/>
      <c r="C894" s="550"/>
      <c r="D894" s="550"/>
      <c r="E894" s="550"/>
      <c r="F894" s="550"/>
      <c r="G894" s="550"/>
      <c r="H894" s="550"/>
      <c r="I894" s="550"/>
      <c r="J894" s="550"/>
    </row>
    <row r="895" spans="2:10" ht="15" customHeight="1">
      <c r="B895" s="550"/>
      <c r="C895" s="550"/>
      <c r="D895" s="550"/>
      <c r="E895" s="550"/>
      <c r="F895" s="550"/>
      <c r="G895" s="550"/>
      <c r="H895" s="550"/>
      <c r="I895" s="550"/>
      <c r="J895" s="550"/>
    </row>
    <row r="896" spans="2:10" ht="15" customHeight="1">
      <c r="B896" s="550"/>
      <c r="C896" s="550"/>
      <c r="D896" s="550"/>
      <c r="E896" s="550"/>
      <c r="F896" s="550"/>
      <c r="G896" s="550"/>
      <c r="H896" s="550"/>
      <c r="I896" s="550"/>
      <c r="J896" s="550"/>
    </row>
    <row r="897" spans="2:10" ht="15" customHeight="1">
      <c r="B897" s="550"/>
      <c r="C897" s="550"/>
      <c r="D897" s="550"/>
      <c r="E897" s="550"/>
      <c r="F897" s="550"/>
      <c r="G897" s="550"/>
      <c r="H897" s="550"/>
      <c r="I897" s="550"/>
      <c r="J897" s="550"/>
    </row>
    <row r="898" spans="2:10" ht="15" customHeight="1">
      <c r="B898" s="550"/>
      <c r="C898" s="550"/>
      <c r="D898" s="550"/>
      <c r="E898" s="550"/>
      <c r="F898" s="550"/>
      <c r="G898" s="550"/>
      <c r="H898" s="550"/>
      <c r="I898" s="550"/>
      <c r="J898" s="550"/>
    </row>
    <row r="899" spans="2:10" ht="15" customHeight="1">
      <c r="B899" s="550"/>
      <c r="C899" s="550"/>
      <c r="D899" s="550"/>
      <c r="E899" s="550"/>
      <c r="F899" s="550"/>
      <c r="G899" s="550"/>
      <c r="H899" s="550"/>
      <c r="I899" s="550"/>
      <c r="J899" s="550"/>
    </row>
    <row r="900" spans="2:10" ht="15" customHeight="1">
      <c r="B900" s="550"/>
      <c r="C900" s="550"/>
      <c r="D900" s="550"/>
      <c r="E900" s="550"/>
      <c r="F900" s="550"/>
      <c r="G900" s="550"/>
      <c r="H900" s="550"/>
      <c r="I900" s="550"/>
      <c r="J900" s="550"/>
    </row>
    <row r="901" spans="2:10" ht="15" customHeight="1">
      <c r="B901" s="550"/>
      <c r="C901" s="550"/>
      <c r="D901" s="550"/>
      <c r="E901" s="550"/>
      <c r="F901" s="550"/>
      <c r="G901" s="550"/>
      <c r="H901" s="550"/>
      <c r="I901" s="550"/>
      <c r="J901" s="550"/>
    </row>
    <row r="902" spans="2:10" ht="15" customHeight="1">
      <c r="B902" s="550"/>
      <c r="C902" s="550"/>
      <c r="D902" s="550"/>
      <c r="E902" s="550"/>
      <c r="F902" s="550"/>
      <c r="G902" s="550"/>
      <c r="H902" s="550"/>
      <c r="I902" s="550"/>
      <c r="J902" s="550"/>
    </row>
    <row r="903" spans="2:10" ht="15" customHeight="1">
      <c r="B903" s="550"/>
      <c r="C903" s="550"/>
      <c r="D903" s="550"/>
      <c r="E903" s="550"/>
      <c r="F903" s="550"/>
      <c r="G903" s="550"/>
      <c r="H903" s="550"/>
      <c r="I903" s="550"/>
      <c r="J903" s="550"/>
    </row>
    <row r="904" spans="2:10" ht="15" customHeight="1">
      <c r="B904" s="550"/>
      <c r="C904" s="550"/>
      <c r="D904" s="550"/>
      <c r="E904" s="550"/>
      <c r="F904" s="550"/>
      <c r="G904" s="550"/>
      <c r="H904" s="550"/>
      <c r="I904" s="550"/>
      <c r="J904" s="550"/>
    </row>
    <row r="905" spans="2:10" ht="15" customHeight="1">
      <c r="B905" s="550"/>
      <c r="C905" s="550"/>
      <c r="D905" s="550"/>
      <c r="E905" s="550"/>
      <c r="F905" s="550"/>
      <c r="G905" s="550"/>
      <c r="H905" s="550"/>
      <c r="I905" s="550"/>
      <c r="J905" s="550"/>
    </row>
    <row r="906" spans="2:10" ht="15" customHeight="1">
      <c r="B906" s="550"/>
      <c r="C906" s="550"/>
      <c r="D906" s="550"/>
      <c r="E906" s="550"/>
      <c r="F906" s="550"/>
      <c r="G906" s="550"/>
      <c r="H906" s="550"/>
      <c r="I906" s="550"/>
      <c r="J906" s="550"/>
    </row>
    <row r="907" spans="2:10" ht="15" customHeight="1">
      <c r="B907" s="550"/>
      <c r="C907" s="550"/>
      <c r="D907" s="550"/>
      <c r="E907" s="550"/>
      <c r="F907" s="550"/>
      <c r="G907" s="550"/>
      <c r="H907" s="550"/>
      <c r="I907" s="550"/>
      <c r="J907" s="550"/>
    </row>
    <row r="908" spans="2:10" ht="15" customHeight="1">
      <c r="B908" s="550"/>
      <c r="C908" s="550"/>
      <c r="D908" s="550"/>
      <c r="E908" s="550"/>
      <c r="F908" s="550"/>
      <c r="G908" s="550"/>
      <c r="H908" s="550"/>
      <c r="I908" s="550"/>
      <c r="J908" s="550"/>
    </row>
    <row r="909" spans="2:10" ht="15" customHeight="1">
      <c r="B909" s="550"/>
      <c r="C909" s="550"/>
      <c r="D909" s="550"/>
      <c r="E909" s="550"/>
      <c r="F909" s="550"/>
      <c r="G909" s="550"/>
      <c r="H909" s="550"/>
      <c r="I909" s="550"/>
      <c r="J909" s="550"/>
    </row>
    <row r="910" spans="2:10" ht="15" customHeight="1">
      <c r="B910" s="550"/>
      <c r="C910" s="550"/>
      <c r="D910" s="550"/>
      <c r="E910" s="550"/>
      <c r="F910" s="550"/>
      <c r="G910" s="550"/>
      <c r="H910" s="550"/>
      <c r="I910" s="550"/>
      <c r="J910" s="550"/>
    </row>
    <row r="911" spans="2:10" ht="15" customHeight="1">
      <c r="B911" s="550"/>
      <c r="C911" s="550"/>
      <c r="D911" s="550"/>
      <c r="E911" s="550"/>
      <c r="F911" s="550"/>
      <c r="G911" s="550"/>
      <c r="H911" s="550"/>
      <c r="I911" s="550"/>
      <c r="J911" s="550"/>
    </row>
    <row r="912" spans="2:10" ht="15" customHeight="1">
      <c r="B912" s="550"/>
      <c r="C912" s="550"/>
      <c r="D912" s="550"/>
      <c r="E912" s="550"/>
      <c r="F912" s="550"/>
      <c r="G912" s="550"/>
      <c r="H912" s="550"/>
      <c r="I912" s="550"/>
      <c r="J912" s="550"/>
    </row>
    <row r="913" spans="2:10" ht="15" customHeight="1">
      <c r="B913" s="550"/>
      <c r="C913" s="550"/>
      <c r="D913" s="550"/>
      <c r="E913" s="550"/>
      <c r="F913" s="550"/>
      <c r="G913" s="550"/>
      <c r="H913" s="550"/>
      <c r="I913" s="550"/>
      <c r="J913" s="550"/>
    </row>
    <row r="914" spans="2:10" ht="15" customHeight="1">
      <c r="B914" s="550"/>
      <c r="C914" s="550"/>
      <c r="D914" s="550"/>
      <c r="E914" s="550"/>
      <c r="F914" s="550"/>
      <c r="G914" s="550"/>
      <c r="H914" s="550"/>
      <c r="I914" s="550"/>
      <c r="J914" s="550"/>
    </row>
    <row r="915" spans="2:10" ht="15" customHeight="1">
      <c r="B915" s="550"/>
      <c r="C915" s="550"/>
      <c r="D915" s="550"/>
      <c r="E915" s="550"/>
      <c r="F915" s="550"/>
      <c r="G915" s="550"/>
      <c r="H915" s="550"/>
      <c r="I915" s="550"/>
      <c r="J915" s="550"/>
    </row>
    <row r="916" spans="2:10" ht="15" customHeight="1">
      <c r="B916" s="550"/>
      <c r="C916" s="550"/>
      <c r="D916" s="550"/>
      <c r="E916" s="550"/>
      <c r="F916" s="550"/>
      <c r="G916" s="550"/>
      <c r="H916" s="550"/>
      <c r="I916" s="550"/>
      <c r="J916" s="550"/>
    </row>
    <row r="917" spans="2:10" ht="15" customHeight="1">
      <c r="B917" s="550"/>
      <c r="C917" s="550"/>
      <c r="D917" s="550"/>
      <c r="E917" s="550"/>
      <c r="F917" s="550"/>
      <c r="G917" s="550"/>
      <c r="H917" s="550"/>
      <c r="I917" s="550"/>
      <c r="J917" s="550"/>
    </row>
    <row r="918" spans="2:10" ht="15" customHeight="1">
      <c r="B918" s="550"/>
      <c r="C918" s="550"/>
      <c r="D918" s="550"/>
      <c r="E918" s="550"/>
      <c r="F918" s="550"/>
      <c r="G918" s="550"/>
      <c r="H918" s="550"/>
      <c r="I918" s="550"/>
      <c r="J918" s="550"/>
    </row>
    <row r="919" spans="2:10" ht="15" customHeight="1">
      <c r="B919" s="550"/>
      <c r="C919" s="550"/>
      <c r="D919" s="550"/>
      <c r="E919" s="550"/>
      <c r="F919" s="550"/>
      <c r="G919" s="550"/>
      <c r="H919" s="550"/>
      <c r="I919" s="550"/>
      <c r="J919" s="550"/>
    </row>
    <row r="920" spans="2:10" ht="15" customHeight="1">
      <c r="B920" s="550"/>
      <c r="C920" s="550"/>
      <c r="D920" s="550"/>
      <c r="E920" s="550"/>
      <c r="F920" s="550"/>
      <c r="G920" s="550"/>
      <c r="H920" s="550"/>
      <c r="I920" s="550"/>
      <c r="J920" s="550"/>
    </row>
    <row r="921" spans="2:10" ht="15" customHeight="1">
      <c r="B921" s="550"/>
      <c r="C921" s="550"/>
      <c r="D921" s="550"/>
      <c r="E921" s="550"/>
      <c r="F921" s="550"/>
      <c r="G921" s="550"/>
      <c r="H921" s="550"/>
      <c r="I921" s="550"/>
      <c r="J921" s="550"/>
    </row>
    <row r="922" spans="2:10" ht="15" customHeight="1">
      <c r="B922" s="550"/>
      <c r="C922" s="550"/>
      <c r="D922" s="550"/>
      <c r="E922" s="550"/>
      <c r="F922" s="550"/>
      <c r="G922" s="550"/>
      <c r="H922" s="550"/>
      <c r="I922" s="550"/>
      <c r="J922" s="550"/>
    </row>
    <row r="923" spans="2:10" ht="15" customHeight="1">
      <c r="B923" s="550"/>
      <c r="C923" s="550"/>
      <c r="D923" s="550"/>
      <c r="E923" s="550"/>
      <c r="F923" s="550"/>
      <c r="G923" s="550"/>
      <c r="H923" s="550"/>
      <c r="I923" s="550"/>
      <c r="J923" s="550"/>
    </row>
    <row r="924" spans="2:10" ht="15" customHeight="1">
      <c r="B924" s="550"/>
      <c r="C924" s="550"/>
      <c r="D924" s="550"/>
      <c r="E924" s="550"/>
      <c r="F924" s="550"/>
      <c r="G924" s="550"/>
      <c r="H924" s="550"/>
      <c r="I924" s="550"/>
      <c r="J924" s="550"/>
    </row>
    <row r="925" spans="2:10" ht="15" customHeight="1">
      <c r="B925" s="550"/>
      <c r="C925" s="550"/>
      <c r="D925" s="550"/>
      <c r="E925" s="550"/>
      <c r="F925" s="550"/>
      <c r="G925" s="550"/>
      <c r="H925" s="550"/>
      <c r="I925" s="550"/>
      <c r="J925" s="550"/>
    </row>
    <row r="926" spans="2:10" ht="15" customHeight="1">
      <c r="B926" s="550"/>
      <c r="C926" s="550"/>
      <c r="D926" s="550"/>
      <c r="E926" s="550"/>
      <c r="F926" s="550"/>
      <c r="G926" s="550"/>
      <c r="H926" s="550"/>
      <c r="I926" s="550"/>
      <c r="J926" s="550"/>
    </row>
    <row r="927" spans="2:10" ht="15" customHeight="1">
      <c r="B927" s="550"/>
      <c r="C927" s="550"/>
      <c r="D927" s="550"/>
      <c r="E927" s="550"/>
      <c r="F927" s="550"/>
      <c r="G927" s="550"/>
      <c r="H927" s="550"/>
      <c r="I927" s="550"/>
      <c r="J927" s="550"/>
    </row>
    <row r="928" spans="2:10" ht="15" customHeight="1">
      <c r="B928" s="550"/>
      <c r="C928" s="550"/>
      <c r="D928" s="550"/>
      <c r="E928" s="550"/>
      <c r="F928" s="550"/>
      <c r="G928" s="550"/>
      <c r="H928" s="550"/>
      <c r="I928" s="550"/>
      <c r="J928" s="550"/>
    </row>
    <row r="929" spans="2:10" ht="15" customHeight="1">
      <c r="B929" s="550"/>
      <c r="C929" s="550"/>
      <c r="D929" s="550"/>
      <c r="E929" s="550"/>
      <c r="F929" s="550"/>
      <c r="G929" s="550"/>
      <c r="H929" s="550"/>
      <c r="I929" s="550"/>
      <c r="J929" s="550"/>
    </row>
    <row r="930" spans="2:10" ht="15" customHeight="1">
      <c r="B930" s="550"/>
      <c r="C930" s="550"/>
      <c r="D930" s="550"/>
      <c r="E930" s="550"/>
      <c r="F930" s="550"/>
      <c r="G930" s="550"/>
      <c r="H930" s="550"/>
      <c r="I930" s="550"/>
      <c r="J930" s="550"/>
    </row>
    <row r="931" spans="2:10" ht="15" customHeight="1">
      <c r="B931" s="550"/>
      <c r="C931" s="550"/>
      <c r="D931" s="550"/>
      <c r="E931" s="550"/>
      <c r="F931" s="550"/>
      <c r="G931" s="550"/>
      <c r="H931" s="550"/>
      <c r="I931" s="550"/>
      <c r="J931" s="550"/>
    </row>
    <row r="932" spans="2:10" ht="15" customHeight="1">
      <c r="B932" s="550"/>
      <c r="C932" s="550"/>
      <c r="D932" s="550"/>
      <c r="E932" s="550"/>
      <c r="F932" s="550"/>
      <c r="G932" s="550"/>
      <c r="H932" s="550"/>
      <c r="I932" s="550"/>
      <c r="J932" s="550"/>
    </row>
    <row r="933" spans="2:10" ht="15" customHeight="1">
      <c r="B933" s="550"/>
      <c r="C933" s="550"/>
      <c r="D933" s="550"/>
      <c r="E933" s="550"/>
      <c r="F933" s="550"/>
      <c r="G933" s="550"/>
      <c r="H933" s="550"/>
      <c r="I933" s="550"/>
      <c r="J933" s="550"/>
    </row>
    <row r="934" spans="2:10" ht="15" customHeight="1">
      <c r="B934" s="550"/>
      <c r="C934" s="550"/>
      <c r="D934" s="550"/>
      <c r="E934" s="550"/>
      <c r="F934" s="550"/>
      <c r="G934" s="550"/>
      <c r="H934" s="550"/>
      <c r="I934" s="550"/>
      <c r="J934" s="550"/>
    </row>
    <row r="935" spans="2:10" ht="15" customHeight="1">
      <c r="B935" s="550"/>
      <c r="C935" s="550"/>
      <c r="D935" s="550"/>
      <c r="E935" s="550"/>
      <c r="F935" s="550"/>
      <c r="G935" s="550"/>
      <c r="H935" s="550"/>
      <c r="I935" s="550"/>
      <c r="J935" s="550"/>
    </row>
    <row r="936" spans="2:10" ht="15" customHeight="1">
      <c r="B936" s="550"/>
      <c r="C936" s="550"/>
      <c r="D936" s="550"/>
      <c r="E936" s="550"/>
      <c r="F936" s="550"/>
      <c r="G936" s="550"/>
      <c r="H936" s="550"/>
      <c r="I936" s="550"/>
      <c r="J936" s="550"/>
    </row>
    <row r="937" spans="2:10" ht="15" customHeight="1">
      <c r="B937" s="550"/>
      <c r="C937" s="550"/>
      <c r="D937" s="550"/>
      <c r="E937" s="550"/>
      <c r="F937" s="550"/>
      <c r="G937" s="550"/>
      <c r="H937" s="550"/>
      <c r="I937" s="550"/>
      <c r="J937" s="550"/>
    </row>
    <row r="938" spans="2:10" ht="15" customHeight="1">
      <c r="B938" s="550"/>
      <c r="C938" s="550"/>
      <c r="D938" s="550"/>
      <c r="E938" s="550"/>
      <c r="F938" s="550"/>
      <c r="G938" s="550"/>
      <c r="H938" s="550"/>
      <c r="I938" s="550"/>
      <c r="J938" s="550"/>
    </row>
    <row r="939" spans="2:10" ht="15" customHeight="1">
      <c r="B939" s="550"/>
      <c r="C939" s="550"/>
      <c r="D939" s="550"/>
      <c r="E939" s="550"/>
      <c r="F939" s="550"/>
      <c r="G939" s="550"/>
      <c r="H939" s="550"/>
      <c r="I939" s="550"/>
      <c r="J939" s="550"/>
    </row>
    <row r="940" spans="2:10" ht="15" customHeight="1">
      <c r="B940" s="550"/>
      <c r="C940" s="550"/>
      <c r="D940" s="550"/>
      <c r="E940" s="550"/>
      <c r="F940" s="550"/>
      <c r="G940" s="550"/>
      <c r="H940" s="550"/>
      <c r="I940" s="550"/>
      <c r="J940" s="550"/>
    </row>
    <row r="941" spans="2:10" ht="15" customHeight="1">
      <c r="B941" s="550"/>
      <c r="C941" s="550"/>
      <c r="D941" s="550"/>
      <c r="E941" s="550"/>
      <c r="F941" s="550"/>
      <c r="G941" s="550"/>
      <c r="H941" s="550"/>
      <c r="I941" s="550"/>
      <c r="J941" s="550"/>
    </row>
    <row r="942" spans="2:10" ht="15" customHeight="1">
      <c r="B942" s="550"/>
      <c r="C942" s="550"/>
      <c r="D942" s="550"/>
      <c r="E942" s="550"/>
      <c r="F942" s="550"/>
      <c r="G942" s="550"/>
      <c r="H942" s="550"/>
      <c r="I942" s="550"/>
      <c r="J942" s="550"/>
    </row>
    <row r="943" spans="2:10" ht="15" customHeight="1">
      <c r="B943" s="550"/>
      <c r="C943" s="550"/>
      <c r="D943" s="550"/>
      <c r="E943" s="550"/>
      <c r="F943" s="550"/>
      <c r="G943" s="550"/>
      <c r="H943" s="550"/>
      <c r="I943" s="550"/>
      <c r="J943" s="550"/>
    </row>
    <row r="944" spans="2:10" ht="15" customHeight="1">
      <c r="B944" s="550"/>
      <c r="C944" s="550"/>
      <c r="D944" s="550"/>
      <c r="E944" s="550"/>
      <c r="F944" s="550"/>
      <c r="G944" s="550"/>
      <c r="H944" s="550"/>
      <c r="I944" s="550"/>
      <c r="J944" s="550"/>
    </row>
    <row r="945" spans="2:10" ht="15" customHeight="1">
      <c r="B945" s="550"/>
      <c r="C945" s="550"/>
      <c r="D945" s="550"/>
      <c r="E945" s="550"/>
      <c r="F945" s="550"/>
      <c r="G945" s="550"/>
      <c r="H945" s="550"/>
      <c r="I945" s="550"/>
      <c r="J945" s="550"/>
    </row>
    <row r="946" spans="2:10" ht="15" customHeight="1">
      <c r="B946" s="550"/>
      <c r="C946" s="550"/>
      <c r="D946" s="550"/>
      <c r="E946" s="550"/>
      <c r="F946" s="550"/>
      <c r="G946" s="550"/>
      <c r="H946" s="550"/>
      <c r="I946" s="550"/>
      <c r="J946" s="550"/>
    </row>
    <row r="947" spans="2:10" ht="15" customHeight="1">
      <c r="B947" s="550"/>
      <c r="C947" s="550"/>
      <c r="D947" s="550"/>
      <c r="E947" s="550"/>
      <c r="F947" s="550"/>
      <c r="G947" s="550"/>
      <c r="H947" s="550"/>
      <c r="I947" s="550"/>
      <c r="J947" s="550"/>
    </row>
    <row r="948" spans="2:10" ht="15" customHeight="1">
      <c r="B948" s="550"/>
      <c r="C948" s="550"/>
      <c r="D948" s="550"/>
      <c r="E948" s="550"/>
      <c r="F948" s="550"/>
      <c r="G948" s="550"/>
      <c r="H948" s="550"/>
      <c r="I948" s="550"/>
      <c r="J948" s="550"/>
    </row>
    <row r="949" spans="2:10" ht="15" customHeight="1">
      <c r="B949" s="550"/>
      <c r="C949" s="550"/>
      <c r="D949" s="550"/>
      <c r="E949" s="550"/>
      <c r="F949" s="550"/>
      <c r="G949" s="550"/>
      <c r="H949" s="550"/>
      <c r="I949" s="550"/>
      <c r="J949" s="550"/>
    </row>
    <row r="950" spans="2:10" ht="15" customHeight="1">
      <c r="B950" s="550"/>
      <c r="C950" s="550"/>
      <c r="D950" s="550"/>
      <c r="E950" s="550"/>
      <c r="F950" s="550"/>
      <c r="G950" s="550"/>
      <c r="H950" s="550"/>
      <c r="I950" s="550"/>
      <c r="J950" s="550"/>
    </row>
    <row r="951" spans="2:10" ht="15" customHeight="1">
      <c r="B951" s="550"/>
      <c r="C951" s="550"/>
      <c r="D951" s="550"/>
      <c r="E951" s="550"/>
      <c r="F951" s="550"/>
      <c r="G951" s="550"/>
      <c r="H951" s="550"/>
      <c r="I951" s="550"/>
      <c r="J951" s="550"/>
    </row>
    <row r="952" spans="2:10" ht="15" customHeight="1">
      <c r="B952" s="550"/>
      <c r="C952" s="550"/>
      <c r="D952" s="550"/>
      <c r="E952" s="550"/>
      <c r="F952" s="550"/>
      <c r="G952" s="550"/>
      <c r="H952" s="550"/>
      <c r="I952" s="550"/>
      <c r="J952" s="550"/>
    </row>
    <row r="953" spans="2:10" ht="15" customHeight="1">
      <c r="B953" s="550"/>
      <c r="C953" s="550"/>
      <c r="D953" s="550"/>
      <c r="E953" s="550"/>
      <c r="F953" s="550"/>
      <c r="G953" s="550"/>
      <c r="H953" s="550"/>
      <c r="I953" s="550"/>
      <c r="J953" s="550"/>
    </row>
    <row r="954" spans="2:10" ht="15" customHeight="1">
      <c r="B954" s="550"/>
      <c r="C954" s="550"/>
      <c r="D954" s="550"/>
      <c r="E954" s="550"/>
      <c r="F954" s="550"/>
      <c r="G954" s="550"/>
      <c r="H954" s="550"/>
      <c r="I954" s="550"/>
      <c r="J954" s="550"/>
    </row>
    <row r="955" spans="2:10" ht="15" customHeight="1">
      <c r="B955" s="550"/>
      <c r="C955" s="550"/>
      <c r="D955" s="550"/>
      <c r="E955" s="550"/>
      <c r="F955" s="550"/>
      <c r="G955" s="550"/>
      <c r="H955" s="550"/>
      <c r="I955" s="550"/>
      <c r="J955" s="550"/>
    </row>
    <row r="956" spans="2:10" ht="15" customHeight="1">
      <c r="B956" s="550"/>
      <c r="C956" s="550"/>
      <c r="D956" s="550"/>
      <c r="E956" s="550"/>
      <c r="F956" s="550"/>
      <c r="G956" s="550"/>
      <c r="H956" s="550"/>
      <c r="I956" s="550"/>
      <c r="J956" s="550"/>
    </row>
    <row r="957" spans="2:10" ht="15" customHeight="1">
      <c r="B957" s="550"/>
      <c r="C957" s="550"/>
      <c r="D957" s="550"/>
      <c r="E957" s="550"/>
      <c r="F957" s="550"/>
      <c r="G957" s="550"/>
      <c r="H957" s="550"/>
      <c r="I957" s="550"/>
      <c r="J957" s="550"/>
    </row>
    <row r="958" spans="2:10" ht="15" customHeight="1">
      <c r="B958" s="550"/>
      <c r="C958" s="550"/>
      <c r="D958" s="550"/>
      <c r="E958" s="550"/>
      <c r="F958" s="550"/>
      <c r="G958" s="550"/>
      <c r="H958" s="550"/>
      <c r="I958" s="550"/>
      <c r="J958" s="550"/>
    </row>
    <row r="959" spans="2:10" ht="15" customHeight="1">
      <c r="B959" s="550"/>
      <c r="C959" s="550"/>
      <c r="D959" s="550"/>
      <c r="E959" s="550"/>
      <c r="F959" s="550"/>
      <c r="G959" s="550"/>
      <c r="H959" s="550"/>
      <c r="I959" s="550"/>
      <c r="J959" s="550"/>
    </row>
    <row r="960" spans="2:10" ht="15" customHeight="1">
      <c r="B960" s="550"/>
      <c r="C960" s="550"/>
      <c r="D960" s="550"/>
      <c r="E960" s="550"/>
      <c r="F960" s="550"/>
      <c r="G960" s="550"/>
      <c r="H960" s="550"/>
      <c r="I960" s="550"/>
      <c r="J960" s="550"/>
    </row>
    <row r="961" spans="2:10" ht="15" customHeight="1">
      <c r="B961" s="550"/>
      <c r="C961" s="550"/>
      <c r="D961" s="550"/>
      <c r="E961" s="550"/>
      <c r="F961" s="550"/>
      <c r="G961" s="550"/>
      <c r="H961" s="550"/>
      <c r="I961" s="550"/>
      <c r="J961" s="550"/>
    </row>
    <row r="962" spans="2:10" ht="15" customHeight="1">
      <c r="B962" s="550"/>
      <c r="C962" s="550"/>
      <c r="D962" s="550"/>
      <c r="E962" s="550"/>
      <c r="F962" s="550"/>
      <c r="G962" s="550"/>
      <c r="H962" s="550"/>
      <c r="I962" s="550"/>
      <c r="J962" s="550"/>
    </row>
    <row r="963" spans="2:10" ht="15" customHeight="1">
      <c r="B963" s="550"/>
      <c r="C963" s="550"/>
      <c r="D963" s="550"/>
      <c r="E963" s="550"/>
      <c r="F963" s="550"/>
      <c r="G963" s="550"/>
      <c r="H963" s="550"/>
      <c r="I963" s="550"/>
      <c r="J963" s="550"/>
    </row>
    <row r="964" spans="2:10" ht="15" customHeight="1">
      <c r="B964" s="550"/>
      <c r="C964" s="550"/>
      <c r="D964" s="550"/>
      <c r="E964" s="550"/>
      <c r="F964" s="550"/>
      <c r="G964" s="550"/>
      <c r="H964" s="550"/>
      <c r="I964" s="550"/>
      <c r="J964" s="550"/>
    </row>
    <row r="965" spans="2:10" ht="15" customHeight="1">
      <c r="B965" s="550"/>
      <c r="C965" s="550"/>
      <c r="D965" s="550"/>
      <c r="E965" s="550"/>
      <c r="F965" s="550"/>
      <c r="G965" s="550"/>
      <c r="H965" s="550"/>
      <c r="I965" s="550"/>
      <c r="J965" s="550"/>
    </row>
    <row r="966" spans="2:10" ht="15" customHeight="1">
      <c r="B966" s="550"/>
      <c r="C966" s="550"/>
      <c r="D966" s="550"/>
      <c r="E966" s="550"/>
      <c r="F966" s="550"/>
      <c r="G966" s="550"/>
      <c r="H966" s="550"/>
      <c r="I966" s="550"/>
      <c r="J966" s="550"/>
    </row>
    <row r="967" spans="2:10" ht="15" customHeight="1">
      <c r="B967" s="550"/>
      <c r="C967" s="550"/>
      <c r="D967" s="550"/>
      <c r="E967" s="550"/>
      <c r="F967" s="550"/>
      <c r="G967" s="550"/>
      <c r="H967" s="550"/>
      <c r="I967" s="550"/>
      <c r="J967" s="550"/>
    </row>
    <row r="968" spans="2:10" ht="15" customHeight="1">
      <c r="B968" s="550"/>
      <c r="C968" s="550"/>
      <c r="D968" s="550"/>
      <c r="E968" s="550"/>
      <c r="F968" s="550"/>
      <c r="G968" s="550"/>
      <c r="H968" s="550"/>
      <c r="I968" s="550"/>
      <c r="J968" s="550"/>
    </row>
    <row r="969" spans="2:10" ht="15" customHeight="1">
      <c r="B969" s="550"/>
      <c r="C969" s="550"/>
      <c r="D969" s="550"/>
      <c r="E969" s="550"/>
      <c r="F969" s="550"/>
      <c r="G969" s="550"/>
      <c r="H969" s="550"/>
      <c r="I969" s="550"/>
      <c r="J969" s="550"/>
    </row>
    <row r="970" spans="2:10" ht="15" customHeight="1">
      <c r="B970" s="550"/>
      <c r="C970" s="550"/>
      <c r="D970" s="550"/>
      <c r="E970" s="550"/>
      <c r="F970" s="550"/>
      <c r="G970" s="550"/>
      <c r="H970" s="550"/>
      <c r="I970" s="550"/>
      <c r="J970" s="550"/>
    </row>
    <row r="971" spans="2:10" ht="15" customHeight="1">
      <c r="B971" s="550"/>
      <c r="C971" s="550"/>
      <c r="D971" s="550"/>
      <c r="E971" s="550"/>
      <c r="F971" s="550"/>
      <c r="G971" s="550"/>
      <c r="H971" s="550"/>
      <c r="I971" s="550"/>
      <c r="J971" s="550"/>
    </row>
    <row r="972" spans="2:10" ht="15" customHeight="1">
      <c r="B972" s="550"/>
      <c r="C972" s="550"/>
      <c r="D972" s="550"/>
      <c r="E972" s="550"/>
      <c r="F972" s="550"/>
      <c r="G972" s="550"/>
      <c r="H972" s="550"/>
      <c r="I972" s="550"/>
      <c r="J972" s="550"/>
    </row>
    <row r="973" spans="2:10" ht="15" customHeight="1">
      <c r="B973" s="550"/>
      <c r="C973" s="550"/>
      <c r="D973" s="550"/>
      <c r="E973" s="550"/>
      <c r="F973" s="550"/>
      <c r="G973" s="550"/>
      <c r="H973" s="550"/>
      <c r="I973" s="550"/>
      <c r="J973" s="550"/>
    </row>
    <row r="974" spans="2:10" ht="15" customHeight="1">
      <c r="B974" s="550"/>
      <c r="C974" s="550"/>
      <c r="D974" s="550"/>
      <c r="E974" s="550"/>
      <c r="F974" s="550"/>
      <c r="G974" s="550"/>
      <c r="H974" s="550"/>
      <c r="I974" s="550"/>
      <c r="J974" s="550"/>
    </row>
    <row r="975" spans="2:10" ht="15" customHeight="1">
      <c r="B975" s="550"/>
      <c r="C975" s="550"/>
      <c r="D975" s="550"/>
      <c r="E975" s="550"/>
      <c r="F975" s="550"/>
      <c r="G975" s="550"/>
      <c r="H975" s="550"/>
      <c r="I975" s="550"/>
      <c r="J975" s="550"/>
    </row>
    <row r="976" spans="2:10" ht="15" customHeight="1">
      <c r="B976" s="550"/>
      <c r="C976" s="550"/>
      <c r="D976" s="550"/>
      <c r="E976" s="550"/>
      <c r="F976" s="550"/>
      <c r="G976" s="550"/>
      <c r="H976" s="550"/>
      <c r="I976" s="550"/>
      <c r="J976" s="550"/>
    </row>
    <row r="977" spans="2:10" ht="15" customHeight="1">
      <c r="B977" s="550"/>
      <c r="C977" s="550"/>
      <c r="D977" s="550"/>
      <c r="E977" s="550"/>
      <c r="F977" s="550"/>
      <c r="G977" s="550"/>
      <c r="H977" s="550"/>
      <c r="I977" s="550"/>
      <c r="J977" s="550"/>
    </row>
    <row r="978" spans="2:10" ht="15" customHeight="1">
      <c r="B978" s="550"/>
      <c r="C978" s="550"/>
      <c r="D978" s="550"/>
      <c r="E978" s="550"/>
      <c r="F978" s="550"/>
      <c r="G978" s="550"/>
      <c r="H978" s="550"/>
      <c r="I978" s="550"/>
      <c r="J978" s="550"/>
    </row>
    <row r="979" spans="2:10" ht="15" customHeight="1">
      <c r="B979" s="550"/>
      <c r="C979" s="550"/>
      <c r="D979" s="550"/>
      <c r="E979" s="550"/>
      <c r="F979" s="550"/>
      <c r="G979" s="550"/>
      <c r="H979" s="550"/>
      <c r="I979" s="550"/>
      <c r="J979" s="550"/>
    </row>
    <row r="980" spans="2:10" ht="15" customHeight="1">
      <c r="B980" s="550"/>
      <c r="C980" s="550"/>
      <c r="D980" s="550"/>
      <c r="E980" s="550"/>
      <c r="F980" s="550"/>
      <c r="G980" s="550"/>
      <c r="H980" s="550"/>
      <c r="I980" s="550"/>
      <c r="J980" s="550"/>
    </row>
    <row r="981" spans="2:10" ht="15" customHeight="1">
      <c r="B981" s="550"/>
      <c r="C981" s="550"/>
      <c r="D981" s="550"/>
      <c r="E981" s="550"/>
      <c r="F981" s="550"/>
      <c r="G981" s="550"/>
      <c r="H981" s="550"/>
      <c r="I981" s="550"/>
      <c r="J981" s="550"/>
    </row>
    <row r="982" spans="2:10" ht="15" customHeight="1">
      <c r="B982" s="550"/>
      <c r="C982" s="550"/>
      <c r="D982" s="550"/>
      <c r="E982" s="550"/>
      <c r="F982" s="550"/>
      <c r="G982" s="550"/>
      <c r="H982" s="550"/>
      <c r="I982" s="550"/>
      <c r="J982" s="550"/>
    </row>
    <row r="983" spans="2:10" ht="15" customHeight="1">
      <c r="B983" s="550"/>
      <c r="C983" s="550"/>
      <c r="D983" s="550"/>
      <c r="E983" s="550"/>
      <c r="F983" s="550"/>
      <c r="G983" s="550"/>
      <c r="H983" s="550"/>
      <c r="I983" s="550"/>
      <c r="J983" s="550"/>
    </row>
    <row r="984" spans="2:10" ht="15" customHeight="1">
      <c r="B984" s="550"/>
      <c r="C984" s="550"/>
      <c r="D984" s="550"/>
      <c r="E984" s="550"/>
      <c r="F984" s="550"/>
      <c r="G984" s="550"/>
      <c r="H984" s="550"/>
      <c r="I984" s="550"/>
      <c r="J984" s="550"/>
    </row>
    <row r="985" spans="2:10" ht="15" customHeight="1">
      <c r="B985" s="550"/>
      <c r="C985" s="550"/>
      <c r="D985" s="550"/>
      <c r="E985" s="550"/>
      <c r="F985" s="550"/>
      <c r="G985" s="550"/>
      <c r="H985" s="550"/>
      <c r="I985" s="550"/>
      <c r="J985" s="550"/>
    </row>
    <row r="986" spans="2:10" ht="15" customHeight="1">
      <c r="B986" s="550"/>
      <c r="C986" s="550"/>
      <c r="D986" s="550"/>
      <c r="E986" s="550"/>
      <c r="F986" s="550"/>
      <c r="G986" s="550"/>
      <c r="H986" s="550"/>
      <c r="I986" s="550"/>
      <c r="J986" s="550"/>
    </row>
    <row r="987" spans="2:10" ht="15" customHeight="1">
      <c r="B987" s="550"/>
      <c r="C987" s="550"/>
      <c r="D987" s="550"/>
      <c r="E987" s="550"/>
      <c r="F987" s="550"/>
      <c r="G987" s="550"/>
      <c r="H987" s="550"/>
      <c r="I987" s="550"/>
      <c r="J987" s="550"/>
    </row>
  </sheetData>
  <sheetProtection selectLockedCells="1" selectUnlockedCells="1"/>
  <mergeCells count="11">
    <mergeCell ref="J8:J9"/>
    <mergeCell ref="K8:K9"/>
    <mergeCell ref="E7:F7"/>
    <mergeCell ref="H7:I7"/>
    <mergeCell ref="A8:A9"/>
    <mergeCell ref="B8:B9"/>
    <mergeCell ref="C8:C9"/>
    <mergeCell ref="D8:D9"/>
    <mergeCell ref="E8:F8"/>
    <mergeCell ref="G8:G9"/>
    <mergeCell ref="H8:I8"/>
  </mergeCells>
  <pageMargins left="0.7" right="0.7" top="0.75" bottom="0.75" header="0.51180555555555551" footer="0.51180555555555551"/>
  <pageSetup paperSize="9" scale="48"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K39"/>
  <sheetViews>
    <sheetView showGridLines="0" zoomScaleNormal="100" workbookViewId="0"/>
  </sheetViews>
  <sheetFormatPr baseColWidth="10" defaultRowHeight="15"/>
  <cols>
    <col min="1" max="1" width="65.140625" customWidth="1"/>
    <col min="2" max="2" width="20.85546875" customWidth="1"/>
    <col min="3" max="6" width="17.7109375" customWidth="1"/>
    <col min="7" max="7" width="19.42578125" customWidth="1"/>
    <col min="8" max="11" width="17.7109375" customWidth="1"/>
    <col min="257" max="257" width="65.140625" customWidth="1"/>
    <col min="258" max="258" width="20.85546875" customWidth="1"/>
    <col min="259" max="262" width="17.7109375" customWidth="1"/>
    <col min="263" max="263" width="19.42578125" customWidth="1"/>
    <col min="264" max="267" width="17.7109375" customWidth="1"/>
    <col min="513" max="513" width="65.140625" customWidth="1"/>
    <col min="514" max="514" width="20.85546875" customWidth="1"/>
    <col min="515" max="518" width="17.7109375" customWidth="1"/>
    <col min="519" max="519" width="19.42578125" customWidth="1"/>
    <col min="520" max="523" width="17.7109375" customWidth="1"/>
    <col min="769" max="769" width="65.140625" customWidth="1"/>
    <col min="770" max="770" width="20.85546875" customWidth="1"/>
    <col min="771" max="774" width="17.7109375" customWidth="1"/>
    <col min="775" max="775" width="19.42578125" customWidth="1"/>
    <col min="776" max="779" width="17.7109375" customWidth="1"/>
    <col min="1025" max="1025" width="65.140625" customWidth="1"/>
    <col min="1026" max="1026" width="20.85546875" customWidth="1"/>
    <col min="1027" max="1030" width="17.7109375" customWidth="1"/>
    <col min="1031" max="1031" width="19.42578125" customWidth="1"/>
    <col min="1032" max="1035" width="17.7109375" customWidth="1"/>
    <col min="1281" max="1281" width="65.140625" customWidth="1"/>
    <col min="1282" max="1282" width="20.85546875" customWidth="1"/>
    <col min="1283" max="1286" width="17.7109375" customWidth="1"/>
    <col min="1287" max="1287" width="19.42578125" customWidth="1"/>
    <col min="1288" max="1291" width="17.7109375" customWidth="1"/>
    <col min="1537" max="1537" width="65.140625" customWidth="1"/>
    <col min="1538" max="1538" width="20.85546875" customWidth="1"/>
    <col min="1539" max="1542" width="17.7109375" customWidth="1"/>
    <col min="1543" max="1543" width="19.42578125" customWidth="1"/>
    <col min="1544" max="1547" width="17.7109375" customWidth="1"/>
    <col min="1793" max="1793" width="65.140625" customWidth="1"/>
    <col min="1794" max="1794" width="20.85546875" customWidth="1"/>
    <col min="1795" max="1798" width="17.7109375" customWidth="1"/>
    <col min="1799" max="1799" width="19.42578125" customWidth="1"/>
    <col min="1800" max="1803" width="17.7109375" customWidth="1"/>
    <col min="2049" max="2049" width="65.140625" customWidth="1"/>
    <col min="2050" max="2050" width="20.85546875" customWidth="1"/>
    <col min="2051" max="2054" width="17.7109375" customWidth="1"/>
    <col min="2055" max="2055" width="19.42578125" customWidth="1"/>
    <col min="2056" max="2059" width="17.7109375" customWidth="1"/>
    <col min="2305" max="2305" width="65.140625" customWidth="1"/>
    <col min="2306" max="2306" width="20.85546875" customWidth="1"/>
    <col min="2307" max="2310" width="17.7109375" customWidth="1"/>
    <col min="2311" max="2311" width="19.42578125" customWidth="1"/>
    <col min="2312" max="2315" width="17.7109375" customWidth="1"/>
    <col min="2561" max="2561" width="65.140625" customWidth="1"/>
    <col min="2562" max="2562" width="20.85546875" customWidth="1"/>
    <col min="2563" max="2566" width="17.7109375" customWidth="1"/>
    <col min="2567" max="2567" width="19.42578125" customWidth="1"/>
    <col min="2568" max="2571" width="17.7109375" customWidth="1"/>
    <col min="2817" max="2817" width="65.140625" customWidth="1"/>
    <col min="2818" max="2818" width="20.85546875" customWidth="1"/>
    <col min="2819" max="2822" width="17.7109375" customWidth="1"/>
    <col min="2823" max="2823" width="19.42578125" customWidth="1"/>
    <col min="2824" max="2827" width="17.7109375" customWidth="1"/>
    <col min="3073" max="3073" width="65.140625" customWidth="1"/>
    <col min="3074" max="3074" width="20.85546875" customWidth="1"/>
    <col min="3075" max="3078" width="17.7109375" customWidth="1"/>
    <col min="3079" max="3079" width="19.42578125" customWidth="1"/>
    <col min="3080" max="3083" width="17.7109375" customWidth="1"/>
    <col min="3329" max="3329" width="65.140625" customWidth="1"/>
    <col min="3330" max="3330" width="20.85546875" customWidth="1"/>
    <col min="3331" max="3334" width="17.7109375" customWidth="1"/>
    <col min="3335" max="3335" width="19.42578125" customWidth="1"/>
    <col min="3336" max="3339" width="17.7109375" customWidth="1"/>
    <col min="3585" max="3585" width="65.140625" customWidth="1"/>
    <col min="3586" max="3586" width="20.85546875" customWidth="1"/>
    <col min="3587" max="3590" width="17.7109375" customWidth="1"/>
    <col min="3591" max="3591" width="19.42578125" customWidth="1"/>
    <col min="3592" max="3595" width="17.7109375" customWidth="1"/>
    <col min="3841" max="3841" width="65.140625" customWidth="1"/>
    <col min="3842" max="3842" width="20.85546875" customWidth="1"/>
    <col min="3843" max="3846" width="17.7109375" customWidth="1"/>
    <col min="3847" max="3847" width="19.42578125" customWidth="1"/>
    <col min="3848" max="3851" width="17.7109375" customWidth="1"/>
    <col min="4097" max="4097" width="65.140625" customWidth="1"/>
    <col min="4098" max="4098" width="20.85546875" customWidth="1"/>
    <col min="4099" max="4102" width="17.7109375" customWidth="1"/>
    <col min="4103" max="4103" width="19.42578125" customWidth="1"/>
    <col min="4104" max="4107" width="17.7109375" customWidth="1"/>
    <col min="4353" max="4353" width="65.140625" customWidth="1"/>
    <col min="4354" max="4354" width="20.85546875" customWidth="1"/>
    <col min="4355" max="4358" width="17.7109375" customWidth="1"/>
    <col min="4359" max="4359" width="19.42578125" customWidth="1"/>
    <col min="4360" max="4363" width="17.7109375" customWidth="1"/>
    <col min="4609" max="4609" width="65.140625" customWidth="1"/>
    <col min="4610" max="4610" width="20.85546875" customWidth="1"/>
    <col min="4611" max="4614" width="17.7109375" customWidth="1"/>
    <col min="4615" max="4615" width="19.42578125" customWidth="1"/>
    <col min="4616" max="4619" width="17.7109375" customWidth="1"/>
    <col min="4865" max="4865" width="65.140625" customWidth="1"/>
    <col min="4866" max="4866" width="20.85546875" customWidth="1"/>
    <col min="4867" max="4870" width="17.7109375" customWidth="1"/>
    <col min="4871" max="4871" width="19.42578125" customWidth="1"/>
    <col min="4872" max="4875" width="17.7109375" customWidth="1"/>
    <col min="5121" max="5121" width="65.140625" customWidth="1"/>
    <col min="5122" max="5122" width="20.85546875" customWidth="1"/>
    <col min="5123" max="5126" width="17.7109375" customWidth="1"/>
    <col min="5127" max="5127" width="19.42578125" customWidth="1"/>
    <col min="5128" max="5131" width="17.7109375" customWidth="1"/>
    <col min="5377" max="5377" width="65.140625" customWidth="1"/>
    <col min="5378" max="5378" width="20.85546875" customWidth="1"/>
    <col min="5379" max="5382" width="17.7109375" customWidth="1"/>
    <col min="5383" max="5383" width="19.42578125" customWidth="1"/>
    <col min="5384" max="5387" width="17.7109375" customWidth="1"/>
    <col min="5633" max="5633" width="65.140625" customWidth="1"/>
    <col min="5634" max="5634" width="20.85546875" customWidth="1"/>
    <col min="5635" max="5638" width="17.7109375" customWidth="1"/>
    <col min="5639" max="5639" width="19.42578125" customWidth="1"/>
    <col min="5640" max="5643" width="17.7109375" customWidth="1"/>
    <col min="5889" max="5889" width="65.140625" customWidth="1"/>
    <col min="5890" max="5890" width="20.85546875" customWidth="1"/>
    <col min="5891" max="5894" width="17.7109375" customWidth="1"/>
    <col min="5895" max="5895" width="19.42578125" customWidth="1"/>
    <col min="5896" max="5899" width="17.7109375" customWidth="1"/>
    <col min="6145" max="6145" width="65.140625" customWidth="1"/>
    <col min="6146" max="6146" width="20.85546875" customWidth="1"/>
    <col min="6147" max="6150" width="17.7109375" customWidth="1"/>
    <col min="6151" max="6151" width="19.42578125" customWidth="1"/>
    <col min="6152" max="6155" width="17.7109375" customWidth="1"/>
    <col min="6401" max="6401" width="65.140625" customWidth="1"/>
    <col min="6402" max="6402" width="20.85546875" customWidth="1"/>
    <col min="6403" max="6406" width="17.7109375" customWidth="1"/>
    <col min="6407" max="6407" width="19.42578125" customWidth="1"/>
    <col min="6408" max="6411" width="17.7109375" customWidth="1"/>
    <col min="6657" max="6657" width="65.140625" customWidth="1"/>
    <col min="6658" max="6658" width="20.85546875" customWidth="1"/>
    <col min="6659" max="6662" width="17.7109375" customWidth="1"/>
    <col min="6663" max="6663" width="19.42578125" customWidth="1"/>
    <col min="6664" max="6667" width="17.7109375" customWidth="1"/>
    <col min="6913" max="6913" width="65.140625" customWidth="1"/>
    <col min="6914" max="6914" width="20.85546875" customWidth="1"/>
    <col min="6915" max="6918" width="17.7109375" customWidth="1"/>
    <col min="6919" max="6919" width="19.42578125" customWidth="1"/>
    <col min="6920" max="6923" width="17.7109375" customWidth="1"/>
    <col min="7169" max="7169" width="65.140625" customWidth="1"/>
    <col min="7170" max="7170" width="20.85546875" customWidth="1"/>
    <col min="7171" max="7174" width="17.7109375" customWidth="1"/>
    <col min="7175" max="7175" width="19.42578125" customWidth="1"/>
    <col min="7176" max="7179" width="17.7109375" customWidth="1"/>
    <col min="7425" max="7425" width="65.140625" customWidth="1"/>
    <col min="7426" max="7426" width="20.85546875" customWidth="1"/>
    <col min="7427" max="7430" width="17.7109375" customWidth="1"/>
    <col min="7431" max="7431" width="19.42578125" customWidth="1"/>
    <col min="7432" max="7435" width="17.7109375" customWidth="1"/>
    <col min="7681" max="7681" width="65.140625" customWidth="1"/>
    <col min="7682" max="7682" width="20.85546875" customWidth="1"/>
    <col min="7683" max="7686" width="17.7109375" customWidth="1"/>
    <col min="7687" max="7687" width="19.42578125" customWidth="1"/>
    <col min="7688" max="7691" width="17.7109375" customWidth="1"/>
    <col min="7937" max="7937" width="65.140625" customWidth="1"/>
    <col min="7938" max="7938" width="20.85546875" customWidth="1"/>
    <col min="7939" max="7942" width="17.7109375" customWidth="1"/>
    <col min="7943" max="7943" width="19.42578125" customWidth="1"/>
    <col min="7944" max="7947" width="17.7109375" customWidth="1"/>
    <col min="8193" max="8193" width="65.140625" customWidth="1"/>
    <col min="8194" max="8194" width="20.85546875" customWidth="1"/>
    <col min="8195" max="8198" width="17.7109375" customWidth="1"/>
    <col min="8199" max="8199" width="19.42578125" customWidth="1"/>
    <col min="8200" max="8203" width="17.7109375" customWidth="1"/>
    <col min="8449" max="8449" width="65.140625" customWidth="1"/>
    <col min="8450" max="8450" width="20.85546875" customWidth="1"/>
    <col min="8451" max="8454" width="17.7109375" customWidth="1"/>
    <col min="8455" max="8455" width="19.42578125" customWidth="1"/>
    <col min="8456" max="8459" width="17.7109375" customWidth="1"/>
    <col min="8705" max="8705" width="65.140625" customWidth="1"/>
    <col min="8706" max="8706" width="20.85546875" customWidth="1"/>
    <col min="8707" max="8710" width="17.7109375" customWidth="1"/>
    <col min="8711" max="8711" width="19.42578125" customWidth="1"/>
    <col min="8712" max="8715" width="17.7109375" customWidth="1"/>
    <col min="8961" max="8961" width="65.140625" customWidth="1"/>
    <col min="8962" max="8962" width="20.85546875" customWidth="1"/>
    <col min="8963" max="8966" width="17.7109375" customWidth="1"/>
    <col min="8967" max="8967" width="19.42578125" customWidth="1"/>
    <col min="8968" max="8971" width="17.7109375" customWidth="1"/>
    <col min="9217" max="9217" width="65.140625" customWidth="1"/>
    <col min="9218" max="9218" width="20.85546875" customWidth="1"/>
    <col min="9219" max="9222" width="17.7109375" customWidth="1"/>
    <col min="9223" max="9223" width="19.42578125" customWidth="1"/>
    <col min="9224" max="9227" width="17.7109375" customWidth="1"/>
    <col min="9473" max="9473" width="65.140625" customWidth="1"/>
    <col min="9474" max="9474" width="20.85546875" customWidth="1"/>
    <col min="9475" max="9478" width="17.7109375" customWidth="1"/>
    <col min="9479" max="9479" width="19.42578125" customWidth="1"/>
    <col min="9480" max="9483" width="17.7109375" customWidth="1"/>
    <col min="9729" max="9729" width="65.140625" customWidth="1"/>
    <col min="9730" max="9730" width="20.85546875" customWidth="1"/>
    <col min="9731" max="9734" width="17.7109375" customWidth="1"/>
    <col min="9735" max="9735" width="19.42578125" customWidth="1"/>
    <col min="9736" max="9739" width="17.7109375" customWidth="1"/>
    <col min="9985" max="9985" width="65.140625" customWidth="1"/>
    <col min="9986" max="9986" width="20.85546875" customWidth="1"/>
    <col min="9987" max="9990" width="17.7109375" customWidth="1"/>
    <col min="9991" max="9991" width="19.42578125" customWidth="1"/>
    <col min="9992" max="9995" width="17.7109375" customWidth="1"/>
    <col min="10241" max="10241" width="65.140625" customWidth="1"/>
    <col min="10242" max="10242" width="20.85546875" customWidth="1"/>
    <col min="10243" max="10246" width="17.7109375" customWidth="1"/>
    <col min="10247" max="10247" width="19.42578125" customWidth="1"/>
    <col min="10248" max="10251" width="17.7109375" customWidth="1"/>
    <col min="10497" max="10497" width="65.140625" customWidth="1"/>
    <col min="10498" max="10498" width="20.85546875" customWidth="1"/>
    <col min="10499" max="10502" width="17.7109375" customWidth="1"/>
    <col min="10503" max="10503" width="19.42578125" customWidth="1"/>
    <col min="10504" max="10507" width="17.7109375" customWidth="1"/>
    <col min="10753" max="10753" width="65.140625" customWidth="1"/>
    <col min="10754" max="10754" width="20.85546875" customWidth="1"/>
    <col min="10755" max="10758" width="17.7109375" customWidth="1"/>
    <col min="10759" max="10759" width="19.42578125" customWidth="1"/>
    <col min="10760" max="10763" width="17.7109375" customWidth="1"/>
    <col min="11009" max="11009" width="65.140625" customWidth="1"/>
    <col min="11010" max="11010" width="20.85546875" customWidth="1"/>
    <col min="11011" max="11014" width="17.7109375" customWidth="1"/>
    <col min="11015" max="11015" width="19.42578125" customWidth="1"/>
    <col min="11016" max="11019" width="17.7109375" customWidth="1"/>
    <col min="11265" max="11265" width="65.140625" customWidth="1"/>
    <col min="11266" max="11266" width="20.85546875" customWidth="1"/>
    <col min="11267" max="11270" width="17.7109375" customWidth="1"/>
    <col min="11271" max="11271" width="19.42578125" customWidth="1"/>
    <col min="11272" max="11275" width="17.7109375" customWidth="1"/>
    <col min="11521" max="11521" width="65.140625" customWidth="1"/>
    <col min="11522" max="11522" width="20.85546875" customWidth="1"/>
    <col min="11523" max="11526" width="17.7109375" customWidth="1"/>
    <col min="11527" max="11527" width="19.42578125" customWidth="1"/>
    <col min="11528" max="11531" width="17.7109375" customWidth="1"/>
    <col min="11777" max="11777" width="65.140625" customWidth="1"/>
    <col min="11778" max="11778" width="20.85546875" customWidth="1"/>
    <col min="11779" max="11782" width="17.7109375" customWidth="1"/>
    <col min="11783" max="11783" width="19.42578125" customWidth="1"/>
    <col min="11784" max="11787" width="17.7109375" customWidth="1"/>
    <col min="12033" max="12033" width="65.140625" customWidth="1"/>
    <col min="12034" max="12034" width="20.85546875" customWidth="1"/>
    <col min="12035" max="12038" width="17.7109375" customWidth="1"/>
    <col min="12039" max="12039" width="19.42578125" customWidth="1"/>
    <col min="12040" max="12043" width="17.7109375" customWidth="1"/>
    <col min="12289" max="12289" width="65.140625" customWidth="1"/>
    <col min="12290" max="12290" width="20.85546875" customWidth="1"/>
    <col min="12291" max="12294" width="17.7109375" customWidth="1"/>
    <col min="12295" max="12295" width="19.42578125" customWidth="1"/>
    <col min="12296" max="12299" width="17.7109375" customWidth="1"/>
    <col min="12545" max="12545" width="65.140625" customWidth="1"/>
    <col min="12546" max="12546" width="20.85546875" customWidth="1"/>
    <col min="12547" max="12550" width="17.7109375" customWidth="1"/>
    <col min="12551" max="12551" width="19.42578125" customWidth="1"/>
    <col min="12552" max="12555" width="17.7109375" customWidth="1"/>
    <col min="12801" max="12801" width="65.140625" customWidth="1"/>
    <col min="12802" max="12802" width="20.85546875" customWidth="1"/>
    <col min="12803" max="12806" width="17.7109375" customWidth="1"/>
    <col min="12807" max="12807" width="19.42578125" customWidth="1"/>
    <col min="12808" max="12811" width="17.7109375" customWidth="1"/>
    <col min="13057" max="13057" width="65.140625" customWidth="1"/>
    <col min="13058" max="13058" width="20.85546875" customWidth="1"/>
    <col min="13059" max="13062" width="17.7109375" customWidth="1"/>
    <col min="13063" max="13063" width="19.42578125" customWidth="1"/>
    <col min="13064" max="13067" width="17.7109375" customWidth="1"/>
    <col min="13313" max="13313" width="65.140625" customWidth="1"/>
    <col min="13314" max="13314" width="20.85546875" customWidth="1"/>
    <col min="13315" max="13318" width="17.7109375" customWidth="1"/>
    <col min="13319" max="13319" width="19.42578125" customWidth="1"/>
    <col min="13320" max="13323" width="17.7109375" customWidth="1"/>
    <col min="13569" max="13569" width="65.140625" customWidth="1"/>
    <col min="13570" max="13570" width="20.85546875" customWidth="1"/>
    <col min="13571" max="13574" width="17.7109375" customWidth="1"/>
    <col min="13575" max="13575" width="19.42578125" customWidth="1"/>
    <col min="13576" max="13579" width="17.7109375" customWidth="1"/>
    <col min="13825" max="13825" width="65.140625" customWidth="1"/>
    <col min="13826" max="13826" width="20.85546875" customWidth="1"/>
    <col min="13827" max="13830" width="17.7109375" customWidth="1"/>
    <col min="13831" max="13831" width="19.42578125" customWidth="1"/>
    <col min="13832" max="13835" width="17.7109375" customWidth="1"/>
    <col min="14081" max="14081" width="65.140625" customWidth="1"/>
    <col min="14082" max="14082" width="20.85546875" customWidth="1"/>
    <col min="14083" max="14086" width="17.7109375" customWidth="1"/>
    <col min="14087" max="14087" width="19.42578125" customWidth="1"/>
    <col min="14088" max="14091" width="17.7109375" customWidth="1"/>
    <col min="14337" max="14337" width="65.140625" customWidth="1"/>
    <col min="14338" max="14338" width="20.85546875" customWidth="1"/>
    <col min="14339" max="14342" width="17.7109375" customWidth="1"/>
    <col min="14343" max="14343" width="19.42578125" customWidth="1"/>
    <col min="14344" max="14347" width="17.7109375" customWidth="1"/>
    <col min="14593" max="14593" width="65.140625" customWidth="1"/>
    <col min="14594" max="14594" width="20.85546875" customWidth="1"/>
    <col min="14595" max="14598" width="17.7109375" customWidth="1"/>
    <col min="14599" max="14599" width="19.42578125" customWidth="1"/>
    <col min="14600" max="14603" width="17.7109375" customWidth="1"/>
    <col min="14849" max="14849" width="65.140625" customWidth="1"/>
    <col min="14850" max="14850" width="20.85546875" customWidth="1"/>
    <col min="14851" max="14854" width="17.7109375" customWidth="1"/>
    <col min="14855" max="14855" width="19.42578125" customWidth="1"/>
    <col min="14856" max="14859" width="17.7109375" customWidth="1"/>
    <col min="15105" max="15105" width="65.140625" customWidth="1"/>
    <col min="15106" max="15106" width="20.85546875" customWidth="1"/>
    <col min="15107" max="15110" width="17.7109375" customWidth="1"/>
    <col min="15111" max="15111" width="19.42578125" customWidth="1"/>
    <col min="15112" max="15115" width="17.7109375" customWidth="1"/>
    <col min="15361" max="15361" width="65.140625" customWidth="1"/>
    <col min="15362" max="15362" width="20.85546875" customWidth="1"/>
    <col min="15363" max="15366" width="17.7109375" customWidth="1"/>
    <col min="15367" max="15367" width="19.42578125" customWidth="1"/>
    <col min="15368" max="15371" width="17.7109375" customWidth="1"/>
    <col min="15617" max="15617" width="65.140625" customWidth="1"/>
    <col min="15618" max="15618" width="20.85546875" customWidth="1"/>
    <col min="15619" max="15622" width="17.7109375" customWidth="1"/>
    <col min="15623" max="15623" width="19.42578125" customWidth="1"/>
    <col min="15624" max="15627" width="17.7109375" customWidth="1"/>
    <col min="15873" max="15873" width="65.140625" customWidth="1"/>
    <col min="15874" max="15874" width="20.85546875" customWidth="1"/>
    <col min="15875" max="15878" width="17.7109375" customWidth="1"/>
    <col min="15879" max="15879" width="19.42578125" customWidth="1"/>
    <col min="15880" max="15883" width="17.7109375" customWidth="1"/>
    <col min="16129" max="16129" width="65.140625" customWidth="1"/>
    <col min="16130" max="16130" width="20.85546875" customWidth="1"/>
    <col min="16131" max="16134" width="17.7109375" customWidth="1"/>
    <col min="16135" max="16135" width="19.42578125" customWidth="1"/>
    <col min="16136" max="16139" width="17.7109375" customWidth="1"/>
  </cols>
  <sheetData>
    <row r="1" spans="1:11" s="177" customFormat="1" ht="21" customHeight="1">
      <c r="A1" s="175" t="s">
        <v>235</v>
      </c>
      <c r="B1" s="176"/>
    </row>
    <row r="2" spans="1:11" s="177" customFormat="1" ht="19.5" customHeight="1">
      <c r="A2" s="178" t="s">
        <v>801</v>
      </c>
      <c r="B2" s="176"/>
      <c r="C2" s="179"/>
      <c r="D2" s="179"/>
      <c r="E2" s="179"/>
      <c r="F2" s="179"/>
      <c r="G2" s="179"/>
      <c r="H2" s="179"/>
      <c r="I2" s="179"/>
      <c r="J2" s="179"/>
      <c r="K2" s="180" t="s">
        <v>234</v>
      </c>
    </row>
    <row r="3" spans="1:11" s="177" customFormat="1" ht="22.5" customHeight="1">
      <c r="A3" s="181" t="s">
        <v>802</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ht="18.75" customHeight="1">
      <c r="A6" s="248"/>
      <c r="D6" s="249"/>
      <c r="E6" s="249"/>
      <c r="F6" s="249"/>
      <c r="G6" s="248"/>
      <c r="H6" s="249"/>
      <c r="I6" s="249"/>
      <c r="K6" s="249"/>
    </row>
    <row r="7" spans="1:11" s="177" customFormat="1">
      <c r="A7" s="182" t="s">
        <v>228</v>
      </c>
      <c r="B7" s="182" t="s">
        <v>227</v>
      </c>
      <c r="C7" s="182" t="s">
        <v>226</v>
      </c>
      <c r="D7" s="182"/>
      <c r="E7" s="183" t="s">
        <v>225</v>
      </c>
      <c r="F7" s="183"/>
      <c r="G7" s="182" t="s">
        <v>224</v>
      </c>
      <c r="H7" s="1381" t="s">
        <v>223</v>
      </c>
      <c r="I7" s="1381"/>
      <c r="J7" s="182" t="s">
        <v>222</v>
      </c>
      <c r="K7" s="182" t="s">
        <v>221</v>
      </c>
    </row>
    <row r="8" spans="1:11" s="186" customFormat="1">
      <c r="A8" s="1382" t="s">
        <v>220</v>
      </c>
      <c r="B8" s="1379" t="s">
        <v>219</v>
      </c>
      <c r="C8" s="1379" t="s">
        <v>218</v>
      </c>
      <c r="D8" s="1379" t="s">
        <v>217</v>
      </c>
      <c r="E8" s="1379" t="s">
        <v>216</v>
      </c>
      <c r="F8" s="1379"/>
      <c r="G8" s="1379" t="s">
        <v>215</v>
      </c>
      <c r="H8" s="1379" t="s">
        <v>214</v>
      </c>
      <c r="I8" s="1379"/>
      <c r="J8" s="1379" t="s">
        <v>240</v>
      </c>
      <c r="K8" s="1380" t="s">
        <v>212</v>
      </c>
    </row>
    <row r="9" spans="1:11" s="186" customFormat="1">
      <c r="A9" s="1382"/>
      <c r="B9" s="1379"/>
      <c r="C9" s="1379"/>
      <c r="D9" s="1379"/>
      <c r="E9" s="187" t="s">
        <v>211</v>
      </c>
      <c r="F9" s="187" t="s">
        <v>210</v>
      </c>
      <c r="G9" s="1379"/>
      <c r="H9" s="187" t="s">
        <v>211</v>
      </c>
      <c r="I9" s="187" t="s">
        <v>210</v>
      </c>
      <c r="J9" s="1379"/>
      <c r="K9" s="1380"/>
    </row>
    <row r="10" spans="1:11" ht="15.95" customHeight="1">
      <c r="A10" s="188" t="s">
        <v>208</v>
      </c>
      <c r="B10" s="189"/>
      <c r="C10" s="189"/>
      <c r="D10" s="189"/>
      <c r="E10" s="189"/>
      <c r="F10" s="189"/>
      <c r="G10" s="189"/>
      <c r="H10" s="189"/>
      <c r="I10" s="189"/>
      <c r="J10" s="189"/>
      <c r="K10" s="190">
        <f>SUM(K11)</f>
        <v>0</v>
      </c>
    </row>
    <row r="11" spans="1:11" ht="19.5" customHeight="1">
      <c r="A11" s="192"/>
      <c r="B11" s="193"/>
      <c r="C11" s="193"/>
      <c r="D11" s="194"/>
      <c r="E11" s="194"/>
      <c r="F11" s="194"/>
      <c r="G11" s="193"/>
      <c r="H11" s="193"/>
      <c r="I11" s="193"/>
      <c r="J11" s="193"/>
      <c r="K11" s="195"/>
    </row>
    <row r="12" spans="1:11" ht="15.95" customHeight="1">
      <c r="A12" s="188" t="s">
        <v>207</v>
      </c>
      <c r="B12" s="189"/>
      <c r="C12" s="189"/>
      <c r="D12" s="196"/>
      <c r="E12" s="196"/>
      <c r="F12" s="196"/>
      <c r="G12" s="189"/>
      <c r="H12" s="189"/>
      <c r="I12" s="189"/>
      <c r="J12" s="189"/>
      <c r="K12" s="190">
        <f>SUM(K13:K17)</f>
        <v>639200162</v>
      </c>
    </row>
    <row r="13" spans="1:11" ht="32.1" customHeight="1">
      <c r="A13" s="192" t="s">
        <v>803</v>
      </c>
      <c r="B13" s="237" t="s">
        <v>804</v>
      </c>
      <c r="C13" s="237" t="s">
        <v>109</v>
      </c>
      <c r="D13" s="285">
        <v>1.2E-2</v>
      </c>
      <c r="E13" s="557">
        <v>5.9999999999999995E-4</v>
      </c>
      <c r="F13" s="194">
        <v>0.05</v>
      </c>
      <c r="G13" s="193"/>
      <c r="H13" s="193"/>
      <c r="I13" s="193"/>
      <c r="J13" s="193" t="s">
        <v>805</v>
      </c>
      <c r="K13" s="195">
        <v>346037842.06</v>
      </c>
    </row>
    <row r="14" spans="1:11" ht="32.1" customHeight="1">
      <c r="A14" s="192" t="s">
        <v>248</v>
      </c>
      <c r="B14" s="237" t="s">
        <v>651</v>
      </c>
      <c r="C14" s="237" t="s">
        <v>205</v>
      </c>
      <c r="D14" s="558">
        <v>8.6956000000000006E-2</v>
      </c>
      <c r="E14" s="194"/>
      <c r="F14" s="194"/>
      <c r="G14" s="193"/>
      <c r="H14" s="193"/>
      <c r="I14" s="193"/>
      <c r="J14" s="193" t="s">
        <v>805</v>
      </c>
      <c r="K14" s="195">
        <v>162625167.46000001</v>
      </c>
    </row>
    <row r="15" spans="1:11" ht="32.1" customHeight="1">
      <c r="A15" s="559" t="s">
        <v>806</v>
      </c>
      <c r="B15" s="237"/>
      <c r="C15" s="237"/>
      <c r="D15" s="236">
        <v>0.15</v>
      </c>
      <c r="E15" s="194"/>
      <c r="F15" s="194"/>
      <c r="G15" s="193"/>
      <c r="H15" s="193"/>
      <c r="I15" s="193"/>
      <c r="J15" s="193" t="s">
        <v>805</v>
      </c>
      <c r="K15" s="195">
        <v>91705614.040000007</v>
      </c>
    </row>
    <row r="16" spans="1:11" ht="32.1" customHeight="1">
      <c r="A16" s="192" t="s">
        <v>807</v>
      </c>
      <c r="B16" s="237" t="s">
        <v>651</v>
      </c>
      <c r="C16" s="237" t="s">
        <v>205</v>
      </c>
      <c r="D16" s="236"/>
      <c r="E16" s="560" t="s">
        <v>808</v>
      </c>
      <c r="F16" s="560" t="s">
        <v>809</v>
      </c>
      <c r="G16" s="193"/>
      <c r="H16" s="193"/>
      <c r="I16" s="193">
        <v>440</v>
      </c>
      <c r="J16" s="193" t="s">
        <v>805</v>
      </c>
      <c r="K16" s="195">
        <v>33197827.079999998</v>
      </c>
    </row>
    <row r="17" spans="1:11" ht="32.1" customHeight="1">
      <c r="A17" s="192" t="s">
        <v>702</v>
      </c>
      <c r="B17" s="193" t="s">
        <v>651</v>
      </c>
      <c r="C17" s="193" t="s">
        <v>205</v>
      </c>
      <c r="D17" s="194"/>
      <c r="E17" s="560" t="s">
        <v>810</v>
      </c>
      <c r="F17" s="236" t="s">
        <v>811</v>
      </c>
      <c r="G17" s="193"/>
      <c r="H17" s="237">
        <v>99.13</v>
      </c>
      <c r="I17" s="237">
        <v>240.87</v>
      </c>
      <c r="J17" s="193" t="s">
        <v>805</v>
      </c>
      <c r="K17" s="195">
        <v>5633711.3600000003</v>
      </c>
    </row>
    <row r="18" spans="1:11" s="177" customFormat="1" ht="15.95" customHeight="1">
      <c r="A18" s="209" t="s">
        <v>191</v>
      </c>
      <c r="B18" s="210"/>
      <c r="C18" s="210"/>
      <c r="D18" s="211"/>
      <c r="E18" s="211"/>
      <c r="F18" s="211"/>
      <c r="G18" s="210"/>
      <c r="H18" s="210"/>
      <c r="I18" s="210"/>
      <c r="J18" s="210"/>
      <c r="K18" s="213">
        <f>SUM(K19:K19)</f>
        <v>5836094.4800000004</v>
      </c>
    </row>
    <row r="19" spans="1:11" s="177" customFormat="1" ht="45" customHeight="1">
      <c r="A19" s="192" t="s">
        <v>812</v>
      </c>
      <c r="B19" s="561" t="s">
        <v>813</v>
      </c>
      <c r="C19" s="561" t="s">
        <v>814</v>
      </c>
      <c r="D19" s="216"/>
      <c r="E19" s="216"/>
      <c r="F19" s="216"/>
      <c r="G19" s="217"/>
      <c r="H19" s="217" t="s">
        <v>815</v>
      </c>
      <c r="I19" s="217" t="s">
        <v>816</v>
      </c>
      <c r="J19" s="562" t="s">
        <v>817</v>
      </c>
      <c r="K19" s="219">
        <v>5836094.4800000004</v>
      </c>
    </row>
    <row r="20" spans="1:11" ht="15.95" customHeight="1">
      <c r="A20" s="188" t="s">
        <v>179</v>
      </c>
      <c r="B20" s="189"/>
      <c r="C20" s="189"/>
      <c r="D20" s="196"/>
      <c r="E20" s="196"/>
      <c r="F20" s="196"/>
      <c r="G20" s="189"/>
      <c r="H20" s="189"/>
      <c r="I20" s="189"/>
      <c r="J20" s="189"/>
      <c r="K20" s="190">
        <f>SUM(K21:K23)</f>
        <v>22526300.490000002</v>
      </c>
    </row>
    <row r="21" spans="1:11" ht="99.95" customHeight="1">
      <c r="A21" s="563" t="s">
        <v>818</v>
      </c>
      <c r="B21" s="423" t="s">
        <v>819</v>
      </c>
      <c r="C21" s="237"/>
      <c r="D21" s="194"/>
      <c r="E21" s="194"/>
      <c r="F21" s="194">
        <v>0.01</v>
      </c>
      <c r="G21" s="194">
        <v>0.03</v>
      </c>
      <c r="H21" s="193"/>
      <c r="I21" s="193"/>
      <c r="J21" s="193" t="s">
        <v>805</v>
      </c>
      <c r="K21" s="195">
        <v>8114818.3200000003</v>
      </c>
    </row>
    <row r="22" spans="1:11" ht="45" customHeight="1">
      <c r="A22" s="563" t="s">
        <v>820</v>
      </c>
      <c r="B22" s="237" t="s">
        <v>821</v>
      </c>
      <c r="C22" s="237" t="s">
        <v>822</v>
      </c>
      <c r="D22" s="194"/>
      <c r="E22" s="194"/>
      <c r="F22" s="194"/>
      <c r="G22" s="193"/>
      <c r="H22" s="237">
        <v>777</v>
      </c>
      <c r="I22" s="237">
        <v>18727</v>
      </c>
      <c r="J22" s="193" t="s">
        <v>805</v>
      </c>
      <c r="K22" s="195">
        <v>12581386.48</v>
      </c>
    </row>
    <row r="23" spans="1:11" ht="45" customHeight="1">
      <c r="A23" s="192" t="s">
        <v>679</v>
      </c>
      <c r="B23" s="237" t="s">
        <v>823</v>
      </c>
      <c r="C23" s="423" t="s">
        <v>824</v>
      </c>
      <c r="D23" s="194"/>
      <c r="E23" s="194"/>
      <c r="F23" s="194"/>
      <c r="G23" s="193"/>
      <c r="H23" s="193"/>
      <c r="I23" s="193"/>
      <c r="J23" s="193" t="s">
        <v>805</v>
      </c>
      <c r="K23" s="195">
        <v>1830095.69</v>
      </c>
    </row>
    <row r="24" spans="1:11" ht="15.95" customHeight="1">
      <c r="A24" s="188" t="s">
        <v>152</v>
      </c>
      <c r="B24" s="189"/>
      <c r="C24" s="189"/>
      <c r="D24" s="196"/>
      <c r="E24" s="196"/>
      <c r="F24" s="196"/>
      <c r="G24" s="189"/>
      <c r="H24" s="189"/>
      <c r="I24" s="189"/>
      <c r="J24" s="189"/>
      <c r="K24" s="190">
        <f>SUM(K25:K25)</f>
        <v>8101295.0599999996</v>
      </c>
    </row>
    <row r="25" spans="1:11" ht="15.95" customHeight="1">
      <c r="A25" s="564" t="s">
        <v>825</v>
      </c>
      <c r="B25" s="193"/>
      <c r="C25" s="193" t="s">
        <v>826</v>
      </c>
      <c r="D25" s="194"/>
      <c r="E25" s="194"/>
      <c r="F25" s="194"/>
      <c r="G25" s="193"/>
      <c r="H25" s="193"/>
      <c r="I25" s="193"/>
      <c r="J25" s="193"/>
      <c r="K25" s="195">
        <v>8101295.0599999996</v>
      </c>
    </row>
    <row r="26" spans="1:11" ht="15.95" customHeight="1">
      <c r="A26" s="188" t="s">
        <v>151</v>
      </c>
      <c r="B26" s="189"/>
      <c r="C26" s="189"/>
      <c r="D26" s="196"/>
      <c r="E26" s="196"/>
      <c r="F26" s="196"/>
      <c r="G26" s="189"/>
      <c r="H26" s="189"/>
      <c r="I26" s="189"/>
      <c r="J26" s="189"/>
      <c r="K26" s="190">
        <f>SUM(K27:K27)</f>
        <v>11152435.199999999</v>
      </c>
    </row>
    <row r="27" spans="1:11" ht="99.95" customHeight="1">
      <c r="A27" s="565" t="s">
        <v>683</v>
      </c>
      <c r="B27" s="423" t="s">
        <v>827</v>
      </c>
      <c r="C27" s="193"/>
      <c r="D27" s="194"/>
      <c r="E27" s="194"/>
      <c r="F27" s="194"/>
      <c r="G27" s="193"/>
      <c r="H27" s="193"/>
      <c r="I27" s="193"/>
      <c r="J27" s="193"/>
      <c r="K27" s="195">
        <v>11152435.199999999</v>
      </c>
    </row>
    <row r="28" spans="1:11" s="177" customFormat="1" ht="15.95" customHeight="1">
      <c r="A28" s="209" t="s">
        <v>137</v>
      </c>
      <c r="B28" s="210"/>
      <c r="C28" s="210"/>
      <c r="D28" s="211"/>
      <c r="E28" s="211"/>
      <c r="F28" s="211"/>
      <c r="G28" s="210"/>
      <c r="H28" s="210"/>
      <c r="I28" s="210"/>
      <c r="J28" s="210"/>
      <c r="K28" s="213">
        <f>SUM(K29)</f>
        <v>9016440.6600000001</v>
      </c>
    </row>
    <row r="29" spans="1:11" s="177" customFormat="1" ht="15.95" customHeight="1">
      <c r="A29" t="s">
        <v>828</v>
      </c>
      <c r="B29" s="217"/>
      <c r="C29" s="217"/>
      <c r="D29" s="216"/>
      <c r="E29" s="216"/>
      <c r="F29" s="216"/>
      <c r="G29" s="217"/>
      <c r="H29" s="217"/>
      <c r="I29" s="217"/>
      <c r="J29" s="217"/>
      <c r="K29" s="219">
        <v>9016440.6600000001</v>
      </c>
    </row>
    <row r="30" spans="1:11" ht="15.95" customHeight="1">
      <c r="A30" s="188" t="s">
        <v>136</v>
      </c>
      <c r="B30" s="189"/>
      <c r="C30" s="189"/>
      <c r="D30" s="196"/>
      <c r="E30" s="196"/>
      <c r="F30" s="196"/>
      <c r="G30" s="189"/>
      <c r="H30" s="189"/>
      <c r="I30" s="189"/>
      <c r="J30" s="189"/>
      <c r="K30" s="190">
        <f>K31+K32+K33+K34+K35+K36</f>
        <v>157499137.16000003</v>
      </c>
    </row>
    <row r="31" spans="1:11" ht="15.95" customHeight="1">
      <c r="A31" s="192" t="s">
        <v>829</v>
      </c>
      <c r="B31" s="237"/>
      <c r="C31" s="237"/>
      <c r="D31" s="236"/>
      <c r="E31" s="236"/>
      <c r="F31" s="236"/>
      <c r="G31" s="237"/>
      <c r="H31" s="237"/>
      <c r="I31" s="237"/>
      <c r="J31" s="237"/>
      <c r="K31" s="261">
        <v>95295628.980000004</v>
      </c>
    </row>
    <row r="32" spans="1:11" ht="15.95" customHeight="1">
      <c r="A32" s="192" t="s">
        <v>830</v>
      </c>
      <c r="B32" s="237"/>
      <c r="C32" s="237"/>
      <c r="D32" s="236"/>
      <c r="E32" s="236"/>
      <c r="F32" s="236"/>
      <c r="G32" s="237"/>
      <c r="H32" s="237"/>
      <c r="I32" s="237"/>
      <c r="J32" s="237"/>
      <c r="K32" s="261">
        <v>43970017.310000002</v>
      </c>
    </row>
    <row r="33" spans="1:11" ht="15.95" customHeight="1">
      <c r="A33" s="192" t="s">
        <v>831</v>
      </c>
      <c r="B33" s="237"/>
      <c r="C33" s="237"/>
      <c r="D33" s="236"/>
      <c r="E33" s="236"/>
      <c r="F33" s="236"/>
      <c r="G33" s="237"/>
      <c r="H33" s="237"/>
      <c r="I33" s="237"/>
      <c r="J33" s="237"/>
      <c r="K33" s="261">
        <v>18012000</v>
      </c>
    </row>
    <row r="34" spans="1:11" ht="15.95" customHeight="1">
      <c r="A34" s="192" t="s">
        <v>832</v>
      </c>
      <c r="B34" s="237"/>
      <c r="C34" s="237"/>
      <c r="D34" s="236"/>
      <c r="E34" s="236"/>
      <c r="F34" s="236"/>
      <c r="G34" s="237"/>
      <c r="H34" s="237"/>
      <c r="I34" s="237"/>
      <c r="J34" s="237"/>
      <c r="K34" s="261">
        <v>0</v>
      </c>
    </row>
    <row r="35" spans="1:11" ht="15.95" customHeight="1">
      <c r="A35" s="192" t="s">
        <v>833</v>
      </c>
      <c r="B35" s="237"/>
      <c r="C35" s="237"/>
      <c r="D35" s="236"/>
      <c r="E35" s="236"/>
      <c r="F35" s="236"/>
      <c r="G35" s="237"/>
      <c r="H35" s="237"/>
      <c r="I35" s="237"/>
      <c r="J35" s="237"/>
      <c r="K35" s="261">
        <v>221490.87</v>
      </c>
    </row>
    <row r="36" spans="1:11" ht="15.95" customHeight="1">
      <c r="A36" s="192" t="s">
        <v>834</v>
      </c>
      <c r="B36" s="193"/>
      <c r="C36" s="193"/>
      <c r="D36" s="194"/>
      <c r="E36" s="194"/>
      <c r="F36" s="194"/>
      <c r="G36" s="193"/>
      <c r="H36" s="193"/>
      <c r="I36" s="193"/>
      <c r="J36" s="193"/>
      <c r="K36" s="195">
        <v>0</v>
      </c>
    </row>
    <row r="37" spans="1:11" ht="15.95" customHeight="1">
      <c r="A37" s="241" t="s">
        <v>108</v>
      </c>
      <c r="B37" s="242"/>
      <c r="C37" s="242"/>
      <c r="D37" s="243"/>
      <c r="E37" s="243"/>
      <c r="F37" s="243"/>
      <c r="G37" s="242"/>
      <c r="H37" s="242"/>
      <c r="I37" s="242"/>
      <c r="J37" s="242"/>
      <c r="K37" s="276">
        <f>K12+K18+K20+K24+K26+K28+K30</f>
        <v>853331865.04999995</v>
      </c>
    </row>
    <row r="38" spans="1:11">
      <c r="A38" s="245"/>
      <c r="B38" s="246"/>
      <c r="C38" s="246"/>
      <c r="D38" s="246"/>
      <c r="E38" s="246"/>
      <c r="F38" s="246"/>
      <c r="G38" s="246"/>
      <c r="H38" s="246"/>
      <c r="I38" s="246"/>
      <c r="J38" s="246"/>
      <c r="K38" s="246"/>
    </row>
    <row r="39" spans="1:11">
      <c r="A39" s="566"/>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fitToHeight="0"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N46"/>
  <sheetViews>
    <sheetView showGridLines="0" zoomScaleNormal="100" workbookViewId="0"/>
  </sheetViews>
  <sheetFormatPr baseColWidth="10" defaultRowHeight="15"/>
  <cols>
    <col min="1" max="1" width="60" style="591" customWidth="1"/>
    <col min="2" max="2" width="58.5703125" style="643" customWidth="1"/>
    <col min="3" max="3" width="19.28515625" style="644" bestFit="1" customWidth="1"/>
    <col min="4" max="4" width="28.85546875" style="644" bestFit="1" customWidth="1"/>
    <col min="5" max="6" width="13.7109375" style="644" customWidth="1"/>
    <col min="7" max="7" width="9.28515625" style="644" bestFit="1" customWidth="1"/>
    <col min="8" max="8" width="15.28515625" style="644" customWidth="1"/>
    <col min="9" max="9" width="14.85546875" style="644" customWidth="1"/>
    <col min="10" max="10" width="46.7109375" style="644" customWidth="1"/>
    <col min="11" max="11" width="26.28515625" style="645" customWidth="1"/>
    <col min="12" max="12" width="14.5703125" style="591" bestFit="1" customWidth="1"/>
    <col min="13" max="256" width="11.42578125" style="591"/>
    <col min="257" max="257" width="53.28515625" style="591" customWidth="1"/>
    <col min="258" max="258" width="50.42578125" style="591" customWidth="1"/>
    <col min="259" max="259" width="16.7109375" style="591" bestFit="1" customWidth="1"/>
    <col min="260" max="260" width="23.140625" style="591" bestFit="1" customWidth="1"/>
    <col min="261" max="261" width="7.42578125" style="591" bestFit="1" customWidth="1"/>
    <col min="262" max="262" width="7.85546875" style="591" bestFit="1" customWidth="1"/>
    <col min="263" max="263" width="8.42578125" style="591" bestFit="1" customWidth="1"/>
    <col min="264" max="264" width="17" style="591" bestFit="1" customWidth="1"/>
    <col min="265" max="265" width="7.85546875" style="591" bestFit="1" customWidth="1"/>
    <col min="266" max="266" width="20.42578125" style="591" bestFit="1" customWidth="1"/>
    <col min="267" max="267" width="16.140625" style="591" bestFit="1" customWidth="1"/>
    <col min="268" max="268" width="14.5703125" style="591" bestFit="1" customWidth="1"/>
    <col min="269" max="512" width="11.42578125" style="591"/>
    <col min="513" max="513" width="53.28515625" style="591" customWidth="1"/>
    <col min="514" max="514" width="50.42578125" style="591" customWidth="1"/>
    <col min="515" max="515" width="16.7109375" style="591" bestFit="1" customWidth="1"/>
    <col min="516" max="516" width="23.140625" style="591" bestFit="1" customWidth="1"/>
    <col min="517" max="517" width="7.42578125" style="591" bestFit="1" customWidth="1"/>
    <col min="518" max="518" width="7.85546875" style="591" bestFit="1" customWidth="1"/>
    <col min="519" max="519" width="8.42578125" style="591" bestFit="1" customWidth="1"/>
    <col min="520" max="520" width="17" style="591" bestFit="1" customWidth="1"/>
    <col min="521" max="521" width="7.85546875" style="591" bestFit="1" customWidth="1"/>
    <col min="522" max="522" width="20.42578125" style="591" bestFit="1" customWidth="1"/>
    <col min="523" max="523" width="16.140625" style="591" bestFit="1" customWidth="1"/>
    <col min="524" max="524" width="14.5703125" style="591" bestFit="1" customWidth="1"/>
    <col min="525" max="768" width="11.42578125" style="591"/>
    <col min="769" max="769" width="53.28515625" style="591" customWidth="1"/>
    <col min="770" max="770" width="50.42578125" style="591" customWidth="1"/>
    <col min="771" max="771" width="16.7109375" style="591" bestFit="1" customWidth="1"/>
    <col min="772" max="772" width="23.140625" style="591" bestFit="1" customWidth="1"/>
    <col min="773" max="773" width="7.42578125" style="591" bestFit="1" customWidth="1"/>
    <col min="774" max="774" width="7.85546875" style="591" bestFit="1" customWidth="1"/>
    <col min="775" max="775" width="8.42578125" style="591" bestFit="1" customWidth="1"/>
    <col min="776" max="776" width="17" style="591" bestFit="1" customWidth="1"/>
    <col min="777" max="777" width="7.85546875" style="591" bestFit="1" customWidth="1"/>
    <col min="778" max="778" width="20.42578125" style="591" bestFit="1" customWidth="1"/>
    <col min="779" max="779" width="16.140625" style="591" bestFit="1" customWidth="1"/>
    <col min="780" max="780" width="14.5703125" style="591" bestFit="1" customWidth="1"/>
    <col min="781" max="1024" width="11.42578125" style="591"/>
    <col min="1025" max="1025" width="53.28515625" style="591" customWidth="1"/>
    <col min="1026" max="1026" width="50.42578125" style="591" customWidth="1"/>
    <col min="1027" max="1027" width="16.7109375" style="591" bestFit="1" customWidth="1"/>
    <col min="1028" max="1028" width="23.140625" style="591" bestFit="1" customWidth="1"/>
    <col min="1029" max="1029" width="7.42578125" style="591" bestFit="1" customWidth="1"/>
    <col min="1030" max="1030" width="7.85546875" style="591" bestFit="1" customWidth="1"/>
    <col min="1031" max="1031" width="8.42578125" style="591" bestFit="1" customWidth="1"/>
    <col min="1032" max="1032" width="17" style="591" bestFit="1" customWidth="1"/>
    <col min="1033" max="1033" width="7.85546875" style="591" bestFit="1" customWidth="1"/>
    <col min="1034" max="1034" width="20.42578125" style="591" bestFit="1" customWidth="1"/>
    <col min="1035" max="1035" width="16.140625" style="591" bestFit="1" customWidth="1"/>
    <col min="1036" max="1036" width="14.5703125" style="591" bestFit="1" customWidth="1"/>
    <col min="1037" max="1280" width="11.42578125" style="591"/>
    <col min="1281" max="1281" width="53.28515625" style="591" customWidth="1"/>
    <col min="1282" max="1282" width="50.42578125" style="591" customWidth="1"/>
    <col min="1283" max="1283" width="16.7109375" style="591" bestFit="1" customWidth="1"/>
    <col min="1284" max="1284" width="23.140625" style="591" bestFit="1" customWidth="1"/>
    <col min="1285" max="1285" width="7.42578125" style="591" bestFit="1" customWidth="1"/>
    <col min="1286" max="1286" width="7.85546875" style="591" bestFit="1" customWidth="1"/>
    <col min="1287" max="1287" width="8.42578125" style="591" bestFit="1" customWidth="1"/>
    <col min="1288" max="1288" width="17" style="591" bestFit="1" customWidth="1"/>
    <col min="1289" max="1289" width="7.85546875" style="591" bestFit="1" customWidth="1"/>
    <col min="1290" max="1290" width="20.42578125" style="591" bestFit="1" customWidth="1"/>
    <col min="1291" max="1291" width="16.140625" style="591" bestFit="1" customWidth="1"/>
    <col min="1292" max="1292" width="14.5703125" style="591" bestFit="1" customWidth="1"/>
    <col min="1293" max="1536" width="11.42578125" style="591"/>
    <col min="1537" max="1537" width="53.28515625" style="591" customWidth="1"/>
    <col min="1538" max="1538" width="50.42578125" style="591" customWidth="1"/>
    <col min="1539" max="1539" width="16.7109375" style="591" bestFit="1" customWidth="1"/>
    <col min="1540" max="1540" width="23.140625" style="591" bestFit="1" customWidth="1"/>
    <col min="1541" max="1541" width="7.42578125" style="591" bestFit="1" customWidth="1"/>
    <col min="1542" max="1542" width="7.85546875" style="591" bestFit="1" customWidth="1"/>
    <col min="1543" max="1543" width="8.42578125" style="591" bestFit="1" customWidth="1"/>
    <col min="1544" max="1544" width="17" style="591" bestFit="1" customWidth="1"/>
    <col min="1545" max="1545" width="7.85546875" style="591" bestFit="1" customWidth="1"/>
    <col min="1546" max="1546" width="20.42578125" style="591" bestFit="1" customWidth="1"/>
    <col min="1547" max="1547" width="16.140625" style="591" bestFit="1" customWidth="1"/>
    <col min="1548" max="1548" width="14.5703125" style="591" bestFit="1" customWidth="1"/>
    <col min="1549" max="1792" width="11.42578125" style="591"/>
    <col min="1793" max="1793" width="53.28515625" style="591" customWidth="1"/>
    <col min="1794" max="1794" width="50.42578125" style="591" customWidth="1"/>
    <col min="1795" max="1795" width="16.7109375" style="591" bestFit="1" customWidth="1"/>
    <col min="1796" max="1796" width="23.140625" style="591" bestFit="1" customWidth="1"/>
    <col min="1797" max="1797" width="7.42578125" style="591" bestFit="1" customWidth="1"/>
    <col min="1798" max="1798" width="7.85546875" style="591" bestFit="1" customWidth="1"/>
    <col min="1799" max="1799" width="8.42578125" style="591" bestFit="1" customWidth="1"/>
    <col min="1800" max="1800" width="17" style="591" bestFit="1" customWidth="1"/>
    <col min="1801" max="1801" width="7.85546875" style="591" bestFit="1" customWidth="1"/>
    <col min="1802" max="1802" width="20.42578125" style="591" bestFit="1" customWidth="1"/>
    <col min="1803" max="1803" width="16.140625" style="591" bestFit="1" customWidth="1"/>
    <col min="1804" max="1804" width="14.5703125" style="591" bestFit="1" customWidth="1"/>
    <col min="1805" max="2048" width="11.42578125" style="591"/>
    <col min="2049" max="2049" width="53.28515625" style="591" customWidth="1"/>
    <col min="2050" max="2050" width="50.42578125" style="591" customWidth="1"/>
    <col min="2051" max="2051" width="16.7109375" style="591" bestFit="1" customWidth="1"/>
    <col min="2052" max="2052" width="23.140625" style="591" bestFit="1" customWidth="1"/>
    <col min="2053" max="2053" width="7.42578125" style="591" bestFit="1" customWidth="1"/>
    <col min="2054" max="2054" width="7.85546875" style="591" bestFit="1" customWidth="1"/>
    <col min="2055" max="2055" width="8.42578125" style="591" bestFit="1" customWidth="1"/>
    <col min="2056" max="2056" width="17" style="591" bestFit="1" customWidth="1"/>
    <col min="2057" max="2057" width="7.85546875" style="591" bestFit="1" customWidth="1"/>
    <col min="2058" max="2058" width="20.42578125" style="591" bestFit="1" customWidth="1"/>
    <col min="2059" max="2059" width="16.140625" style="591" bestFit="1" customWidth="1"/>
    <col min="2060" max="2060" width="14.5703125" style="591" bestFit="1" customWidth="1"/>
    <col min="2061" max="2304" width="11.42578125" style="591"/>
    <col min="2305" max="2305" width="53.28515625" style="591" customWidth="1"/>
    <col min="2306" max="2306" width="50.42578125" style="591" customWidth="1"/>
    <col min="2307" max="2307" width="16.7109375" style="591" bestFit="1" customWidth="1"/>
    <col min="2308" max="2308" width="23.140625" style="591" bestFit="1" customWidth="1"/>
    <col min="2309" max="2309" width="7.42578125" style="591" bestFit="1" customWidth="1"/>
    <col min="2310" max="2310" width="7.85546875" style="591" bestFit="1" customWidth="1"/>
    <col min="2311" max="2311" width="8.42578125" style="591" bestFit="1" customWidth="1"/>
    <col min="2312" max="2312" width="17" style="591" bestFit="1" customWidth="1"/>
    <col min="2313" max="2313" width="7.85546875" style="591" bestFit="1" customWidth="1"/>
    <col min="2314" max="2314" width="20.42578125" style="591" bestFit="1" customWidth="1"/>
    <col min="2315" max="2315" width="16.140625" style="591" bestFit="1" customWidth="1"/>
    <col min="2316" max="2316" width="14.5703125" style="591" bestFit="1" customWidth="1"/>
    <col min="2317" max="2560" width="11.42578125" style="591"/>
    <col min="2561" max="2561" width="53.28515625" style="591" customWidth="1"/>
    <col min="2562" max="2562" width="50.42578125" style="591" customWidth="1"/>
    <col min="2563" max="2563" width="16.7109375" style="591" bestFit="1" customWidth="1"/>
    <col min="2564" max="2564" width="23.140625" style="591" bestFit="1" customWidth="1"/>
    <col min="2565" max="2565" width="7.42578125" style="591" bestFit="1" customWidth="1"/>
    <col min="2566" max="2566" width="7.85546875" style="591" bestFit="1" customWidth="1"/>
    <col min="2567" max="2567" width="8.42578125" style="591" bestFit="1" customWidth="1"/>
    <col min="2568" max="2568" width="17" style="591" bestFit="1" customWidth="1"/>
    <col min="2569" max="2569" width="7.85546875" style="591" bestFit="1" customWidth="1"/>
    <col min="2570" max="2570" width="20.42578125" style="591" bestFit="1" customWidth="1"/>
    <col min="2571" max="2571" width="16.140625" style="591" bestFit="1" customWidth="1"/>
    <col min="2572" max="2572" width="14.5703125" style="591" bestFit="1" customWidth="1"/>
    <col min="2573" max="2816" width="11.42578125" style="591"/>
    <col min="2817" max="2817" width="53.28515625" style="591" customWidth="1"/>
    <col min="2818" max="2818" width="50.42578125" style="591" customWidth="1"/>
    <col min="2819" max="2819" width="16.7109375" style="591" bestFit="1" customWidth="1"/>
    <col min="2820" max="2820" width="23.140625" style="591" bestFit="1" customWidth="1"/>
    <col min="2821" max="2821" width="7.42578125" style="591" bestFit="1" customWidth="1"/>
    <col min="2822" max="2822" width="7.85546875" style="591" bestFit="1" customWidth="1"/>
    <col min="2823" max="2823" width="8.42578125" style="591" bestFit="1" customWidth="1"/>
    <col min="2824" max="2824" width="17" style="591" bestFit="1" customWidth="1"/>
    <col min="2825" max="2825" width="7.85546875" style="591" bestFit="1" customWidth="1"/>
    <col min="2826" max="2826" width="20.42578125" style="591" bestFit="1" customWidth="1"/>
    <col min="2827" max="2827" width="16.140625" style="591" bestFit="1" customWidth="1"/>
    <col min="2828" max="2828" width="14.5703125" style="591" bestFit="1" customWidth="1"/>
    <col min="2829" max="3072" width="11.42578125" style="591"/>
    <col min="3073" max="3073" width="53.28515625" style="591" customWidth="1"/>
    <col min="3074" max="3074" width="50.42578125" style="591" customWidth="1"/>
    <col min="3075" max="3075" width="16.7109375" style="591" bestFit="1" customWidth="1"/>
    <col min="3076" max="3076" width="23.140625" style="591" bestFit="1" customWidth="1"/>
    <col min="3077" max="3077" width="7.42578125" style="591" bestFit="1" customWidth="1"/>
    <col min="3078" max="3078" width="7.85546875" style="591" bestFit="1" customWidth="1"/>
    <col min="3079" max="3079" width="8.42578125" style="591" bestFit="1" customWidth="1"/>
    <col min="3080" max="3080" width="17" style="591" bestFit="1" customWidth="1"/>
    <col min="3081" max="3081" width="7.85546875" style="591" bestFit="1" customWidth="1"/>
    <col min="3082" max="3082" width="20.42578125" style="591" bestFit="1" customWidth="1"/>
    <col min="3083" max="3083" width="16.140625" style="591" bestFit="1" customWidth="1"/>
    <col min="3084" max="3084" width="14.5703125" style="591" bestFit="1" customWidth="1"/>
    <col min="3085" max="3328" width="11.42578125" style="591"/>
    <col min="3329" max="3329" width="53.28515625" style="591" customWidth="1"/>
    <col min="3330" max="3330" width="50.42578125" style="591" customWidth="1"/>
    <col min="3331" max="3331" width="16.7109375" style="591" bestFit="1" customWidth="1"/>
    <col min="3332" max="3332" width="23.140625" style="591" bestFit="1" customWidth="1"/>
    <col min="3333" max="3333" width="7.42578125" style="591" bestFit="1" customWidth="1"/>
    <col min="3334" max="3334" width="7.85546875" style="591" bestFit="1" customWidth="1"/>
    <col min="3335" max="3335" width="8.42578125" style="591" bestFit="1" customWidth="1"/>
    <col min="3336" max="3336" width="17" style="591" bestFit="1" customWidth="1"/>
    <col min="3337" max="3337" width="7.85546875" style="591" bestFit="1" customWidth="1"/>
    <col min="3338" max="3338" width="20.42578125" style="591" bestFit="1" customWidth="1"/>
    <col min="3339" max="3339" width="16.140625" style="591" bestFit="1" customWidth="1"/>
    <col min="3340" max="3340" width="14.5703125" style="591" bestFit="1" customWidth="1"/>
    <col min="3341" max="3584" width="11.42578125" style="591"/>
    <col min="3585" max="3585" width="53.28515625" style="591" customWidth="1"/>
    <col min="3586" max="3586" width="50.42578125" style="591" customWidth="1"/>
    <col min="3587" max="3587" width="16.7109375" style="591" bestFit="1" customWidth="1"/>
    <col min="3588" max="3588" width="23.140625" style="591" bestFit="1" customWidth="1"/>
    <col min="3589" max="3589" width="7.42578125" style="591" bestFit="1" customWidth="1"/>
    <col min="3590" max="3590" width="7.85546875" style="591" bestFit="1" customWidth="1"/>
    <col min="3591" max="3591" width="8.42578125" style="591" bestFit="1" customWidth="1"/>
    <col min="3592" max="3592" width="17" style="591" bestFit="1" customWidth="1"/>
    <col min="3593" max="3593" width="7.85546875" style="591" bestFit="1" customWidth="1"/>
    <col min="3594" max="3594" width="20.42578125" style="591" bestFit="1" customWidth="1"/>
    <col min="3595" max="3595" width="16.140625" style="591" bestFit="1" customWidth="1"/>
    <col min="3596" max="3596" width="14.5703125" style="591" bestFit="1" customWidth="1"/>
    <col min="3597" max="3840" width="11.42578125" style="591"/>
    <col min="3841" max="3841" width="53.28515625" style="591" customWidth="1"/>
    <col min="3842" max="3842" width="50.42578125" style="591" customWidth="1"/>
    <col min="3843" max="3843" width="16.7109375" style="591" bestFit="1" customWidth="1"/>
    <col min="3844" max="3844" width="23.140625" style="591" bestFit="1" customWidth="1"/>
    <col min="3845" max="3845" width="7.42578125" style="591" bestFit="1" customWidth="1"/>
    <col min="3846" max="3846" width="7.85546875" style="591" bestFit="1" customWidth="1"/>
    <col min="3847" max="3847" width="8.42578125" style="591" bestFit="1" customWidth="1"/>
    <col min="3848" max="3848" width="17" style="591" bestFit="1" customWidth="1"/>
    <col min="3849" max="3849" width="7.85546875" style="591" bestFit="1" customWidth="1"/>
    <col min="3850" max="3850" width="20.42578125" style="591" bestFit="1" customWidth="1"/>
    <col min="3851" max="3851" width="16.140625" style="591" bestFit="1" customWidth="1"/>
    <col min="3852" max="3852" width="14.5703125" style="591" bestFit="1" customWidth="1"/>
    <col min="3853" max="4096" width="11.42578125" style="591"/>
    <col min="4097" max="4097" width="53.28515625" style="591" customWidth="1"/>
    <col min="4098" max="4098" width="50.42578125" style="591" customWidth="1"/>
    <col min="4099" max="4099" width="16.7109375" style="591" bestFit="1" customWidth="1"/>
    <col min="4100" max="4100" width="23.140625" style="591" bestFit="1" customWidth="1"/>
    <col min="4101" max="4101" width="7.42578125" style="591" bestFit="1" customWidth="1"/>
    <col min="4102" max="4102" width="7.85546875" style="591" bestFit="1" customWidth="1"/>
    <col min="4103" max="4103" width="8.42578125" style="591" bestFit="1" customWidth="1"/>
    <col min="4104" max="4104" width="17" style="591" bestFit="1" customWidth="1"/>
    <col min="4105" max="4105" width="7.85546875" style="591" bestFit="1" customWidth="1"/>
    <col min="4106" max="4106" width="20.42578125" style="591" bestFit="1" customWidth="1"/>
    <col min="4107" max="4107" width="16.140625" style="591" bestFit="1" customWidth="1"/>
    <col min="4108" max="4108" width="14.5703125" style="591" bestFit="1" customWidth="1"/>
    <col min="4109" max="4352" width="11.42578125" style="591"/>
    <col min="4353" max="4353" width="53.28515625" style="591" customWidth="1"/>
    <col min="4354" max="4354" width="50.42578125" style="591" customWidth="1"/>
    <col min="4355" max="4355" width="16.7109375" style="591" bestFit="1" customWidth="1"/>
    <col min="4356" max="4356" width="23.140625" style="591" bestFit="1" customWidth="1"/>
    <col min="4357" max="4357" width="7.42578125" style="591" bestFit="1" customWidth="1"/>
    <col min="4358" max="4358" width="7.85546875" style="591" bestFit="1" customWidth="1"/>
    <col min="4359" max="4359" width="8.42578125" style="591" bestFit="1" customWidth="1"/>
    <col min="4360" max="4360" width="17" style="591" bestFit="1" customWidth="1"/>
    <col min="4361" max="4361" width="7.85546875" style="591" bestFit="1" customWidth="1"/>
    <col min="4362" max="4362" width="20.42578125" style="591" bestFit="1" customWidth="1"/>
    <col min="4363" max="4363" width="16.140625" style="591" bestFit="1" customWidth="1"/>
    <col min="4364" max="4364" width="14.5703125" style="591" bestFit="1" customWidth="1"/>
    <col min="4365" max="4608" width="11.42578125" style="591"/>
    <col min="4609" max="4609" width="53.28515625" style="591" customWidth="1"/>
    <col min="4610" max="4610" width="50.42578125" style="591" customWidth="1"/>
    <col min="4611" max="4611" width="16.7109375" style="591" bestFit="1" customWidth="1"/>
    <col min="4612" max="4612" width="23.140625" style="591" bestFit="1" customWidth="1"/>
    <col min="4613" max="4613" width="7.42578125" style="591" bestFit="1" customWidth="1"/>
    <col min="4614" max="4614" width="7.85546875" style="591" bestFit="1" customWidth="1"/>
    <col min="4615" max="4615" width="8.42578125" style="591" bestFit="1" customWidth="1"/>
    <col min="4616" max="4616" width="17" style="591" bestFit="1" customWidth="1"/>
    <col min="4617" max="4617" width="7.85546875" style="591" bestFit="1" customWidth="1"/>
    <col min="4618" max="4618" width="20.42578125" style="591" bestFit="1" customWidth="1"/>
    <col min="4619" max="4619" width="16.140625" style="591" bestFit="1" customWidth="1"/>
    <col min="4620" max="4620" width="14.5703125" style="591" bestFit="1" customWidth="1"/>
    <col min="4621" max="4864" width="11.42578125" style="591"/>
    <col min="4865" max="4865" width="53.28515625" style="591" customWidth="1"/>
    <col min="4866" max="4866" width="50.42578125" style="591" customWidth="1"/>
    <col min="4867" max="4867" width="16.7109375" style="591" bestFit="1" customWidth="1"/>
    <col min="4868" max="4868" width="23.140625" style="591" bestFit="1" customWidth="1"/>
    <col min="4869" max="4869" width="7.42578125" style="591" bestFit="1" customWidth="1"/>
    <col min="4870" max="4870" width="7.85546875" style="591" bestFit="1" customWidth="1"/>
    <col min="4871" max="4871" width="8.42578125" style="591" bestFit="1" customWidth="1"/>
    <col min="4872" max="4872" width="17" style="591" bestFit="1" customWidth="1"/>
    <col min="4873" max="4873" width="7.85546875" style="591" bestFit="1" customWidth="1"/>
    <col min="4874" max="4874" width="20.42578125" style="591" bestFit="1" customWidth="1"/>
    <col min="4875" max="4875" width="16.140625" style="591" bestFit="1" customWidth="1"/>
    <col min="4876" max="4876" width="14.5703125" style="591" bestFit="1" customWidth="1"/>
    <col min="4877" max="5120" width="11.42578125" style="591"/>
    <col min="5121" max="5121" width="53.28515625" style="591" customWidth="1"/>
    <col min="5122" max="5122" width="50.42578125" style="591" customWidth="1"/>
    <col min="5123" max="5123" width="16.7109375" style="591" bestFit="1" customWidth="1"/>
    <col min="5124" max="5124" width="23.140625" style="591" bestFit="1" customWidth="1"/>
    <col min="5125" max="5125" width="7.42578125" style="591" bestFit="1" customWidth="1"/>
    <col min="5126" max="5126" width="7.85546875" style="591" bestFit="1" customWidth="1"/>
    <col min="5127" max="5127" width="8.42578125" style="591" bestFit="1" customWidth="1"/>
    <col min="5128" max="5128" width="17" style="591" bestFit="1" customWidth="1"/>
    <col min="5129" max="5129" width="7.85546875" style="591" bestFit="1" customWidth="1"/>
    <col min="5130" max="5130" width="20.42578125" style="591" bestFit="1" customWidth="1"/>
    <col min="5131" max="5131" width="16.140625" style="591" bestFit="1" customWidth="1"/>
    <col min="5132" max="5132" width="14.5703125" style="591" bestFit="1" customWidth="1"/>
    <col min="5133" max="5376" width="11.42578125" style="591"/>
    <col min="5377" max="5377" width="53.28515625" style="591" customWidth="1"/>
    <col min="5378" max="5378" width="50.42578125" style="591" customWidth="1"/>
    <col min="5379" max="5379" width="16.7109375" style="591" bestFit="1" customWidth="1"/>
    <col min="5380" max="5380" width="23.140625" style="591" bestFit="1" customWidth="1"/>
    <col min="5381" max="5381" width="7.42578125" style="591" bestFit="1" customWidth="1"/>
    <col min="5382" max="5382" width="7.85546875" style="591" bestFit="1" customWidth="1"/>
    <col min="5383" max="5383" width="8.42578125" style="591" bestFit="1" customWidth="1"/>
    <col min="5384" max="5384" width="17" style="591" bestFit="1" customWidth="1"/>
    <col min="5385" max="5385" width="7.85546875" style="591" bestFit="1" customWidth="1"/>
    <col min="5386" max="5386" width="20.42578125" style="591" bestFit="1" customWidth="1"/>
    <col min="5387" max="5387" width="16.140625" style="591" bestFit="1" customWidth="1"/>
    <col min="5388" max="5388" width="14.5703125" style="591" bestFit="1" customWidth="1"/>
    <col min="5389" max="5632" width="11.42578125" style="591"/>
    <col min="5633" max="5633" width="53.28515625" style="591" customWidth="1"/>
    <col min="5634" max="5634" width="50.42578125" style="591" customWidth="1"/>
    <col min="5635" max="5635" width="16.7109375" style="591" bestFit="1" customWidth="1"/>
    <col min="5636" max="5636" width="23.140625" style="591" bestFit="1" customWidth="1"/>
    <col min="5637" max="5637" width="7.42578125" style="591" bestFit="1" customWidth="1"/>
    <col min="5638" max="5638" width="7.85546875" style="591" bestFit="1" customWidth="1"/>
    <col min="5639" max="5639" width="8.42578125" style="591" bestFit="1" customWidth="1"/>
    <col min="5640" max="5640" width="17" style="591" bestFit="1" customWidth="1"/>
    <col min="5641" max="5641" width="7.85546875" style="591" bestFit="1" customWidth="1"/>
    <col min="5642" max="5642" width="20.42578125" style="591" bestFit="1" customWidth="1"/>
    <col min="5643" max="5643" width="16.140625" style="591" bestFit="1" customWidth="1"/>
    <col min="5644" max="5644" width="14.5703125" style="591" bestFit="1" customWidth="1"/>
    <col min="5645" max="5888" width="11.42578125" style="591"/>
    <col min="5889" max="5889" width="53.28515625" style="591" customWidth="1"/>
    <col min="5890" max="5890" width="50.42578125" style="591" customWidth="1"/>
    <col min="5891" max="5891" width="16.7109375" style="591" bestFit="1" customWidth="1"/>
    <col min="5892" max="5892" width="23.140625" style="591" bestFit="1" customWidth="1"/>
    <col min="5893" max="5893" width="7.42578125" style="591" bestFit="1" customWidth="1"/>
    <col min="5894" max="5894" width="7.85546875" style="591" bestFit="1" customWidth="1"/>
    <col min="5895" max="5895" width="8.42578125" style="591" bestFit="1" customWidth="1"/>
    <col min="5896" max="5896" width="17" style="591" bestFit="1" customWidth="1"/>
    <col min="5897" max="5897" width="7.85546875" style="591" bestFit="1" customWidth="1"/>
    <col min="5898" max="5898" width="20.42578125" style="591" bestFit="1" customWidth="1"/>
    <col min="5899" max="5899" width="16.140625" style="591" bestFit="1" customWidth="1"/>
    <col min="5900" max="5900" width="14.5703125" style="591" bestFit="1" customWidth="1"/>
    <col min="5901" max="6144" width="11.42578125" style="591"/>
    <col min="6145" max="6145" width="53.28515625" style="591" customWidth="1"/>
    <col min="6146" max="6146" width="50.42578125" style="591" customWidth="1"/>
    <col min="6147" max="6147" width="16.7109375" style="591" bestFit="1" customWidth="1"/>
    <col min="6148" max="6148" width="23.140625" style="591" bestFit="1" customWidth="1"/>
    <col min="6149" max="6149" width="7.42578125" style="591" bestFit="1" customWidth="1"/>
    <col min="6150" max="6150" width="7.85546875" style="591" bestFit="1" customWidth="1"/>
    <col min="6151" max="6151" width="8.42578125" style="591" bestFit="1" customWidth="1"/>
    <col min="6152" max="6152" width="17" style="591" bestFit="1" customWidth="1"/>
    <col min="6153" max="6153" width="7.85546875" style="591" bestFit="1" customWidth="1"/>
    <col min="6154" max="6154" width="20.42578125" style="591" bestFit="1" customWidth="1"/>
    <col min="6155" max="6155" width="16.140625" style="591" bestFit="1" customWidth="1"/>
    <col min="6156" max="6156" width="14.5703125" style="591" bestFit="1" customWidth="1"/>
    <col min="6157" max="6400" width="11.42578125" style="591"/>
    <col min="6401" max="6401" width="53.28515625" style="591" customWidth="1"/>
    <col min="6402" max="6402" width="50.42578125" style="591" customWidth="1"/>
    <col min="6403" max="6403" width="16.7109375" style="591" bestFit="1" customWidth="1"/>
    <col min="6404" max="6404" width="23.140625" style="591" bestFit="1" customWidth="1"/>
    <col min="6405" max="6405" width="7.42578125" style="591" bestFit="1" customWidth="1"/>
    <col min="6406" max="6406" width="7.85546875" style="591" bestFit="1" customWidth="1"/>
    <col min="6407" max="6407" width="8.42578125" style="591" bestFit="1" customWidth="1"/>
    <col min="6408" max="6408" width="17" style="591" bestFit="1" customWidth="1"/>
    <col min="6409" max="6409" width="7.85546875" style="591" bestFit="1" customWidth="1"/>
    <col min="6410" max="6410" width="20.42578125" style="591" bestFit="1" customWidth="1"/>
    <col min="6411" max="6411" width="16.140625" style="591" bestFit="1" customWidth="1"/>
    <col min="6412" max="6412" width="14.5703125" style="591" bestFit="1" customWidth="1"/>
    <col min="6413" max="6656" width="11.42578125" style="591"/>
    <col min="6657" max="6657" width="53.28515625" style="591" customWidth="1"/>
    <col min="6658" max="6658" width="50.42578125" style="591" customWidth="1"/>
    <col min="6659" max="6659" width="16.7109375" style="591" bestFit="1" customWidth="1"/>
    <col min="6660" max="6660" width="23.140625" style="591" bestFit="1" customWidth="1"/>
    <col min="6661" max="6661" width="7.42578125" style="591" bestFit="1" customWidth="1"/>
    <col min="6662" max="6662" width="7.85546875" style="591" bestFit="1" customWidth="1"/>
    <col min="6663" max="6663" width="8.42578125" style="591" bestFit="1" customWidth="1"/>
    <col min="6664" max="6664" width="17" style="591" bestFit="1" customWidth="1"/>
    <col min="6665" max="6665" width="7.85546875" style="591" bestFit="1" customWidth="1"/>
    <col min="6666" max="6666" width="20.42578125" style="591" bestFit="1" customWidth="1"/>
    <col min="6667" max="6667" width="16.140625" style="591" bestFit="1" customWidth="1"/>
    <col min="6668" max="6668" width="14.5703125" style="591" bestFit="1" customWidth="1"/>
    <col min="6669" max="6912" width="11.42578125" style="591"/>
    <col min="6913" max="6913" width="53.28515625" style="591" customWidth="1"/>
    <col min="6914" max="6914" width="50.42578125" style="591" customWidth="1"/>
    <col min="6915" max="6915" width="16.7109375" style="591" bestFit="1" customWidth="1"/>
    <col min="6916" max="6916" width="23.140625" style="591" bestFit="1" customWidth="1"/>
    <col min="6917" max="6917" width="7.42578125" style="591" bestFit="1" customWidth="1"/>
    <col min="6918" max="6918" width="7.85546875" style="591" bestFit="1" customWidth="1"/>
    <col min="6919" max="6919" width="8.42578125" style="591" bestFit="1" customWidth="1"/>
    <col min="6920" max="6920" width="17" style="591" bestFit="1" customWidth="1"/>
    <col min="6921" max="6921" width="7.85546875" style="591" bestFit="1" customWidth="1"/>
    <col min="6922" max="6922" width="20.42578125" style="591" bestFit="1" customWidth="1"/>
    <col min="6923" max="6923" width="16.140625" style="591" bestFit="1" customWidth="1"/>
    <col min="6924" max="6924" width="14.5703125" style="591" bestFit="1" customWidth="1"/>
    <col min="6925" max="7168" width="11.42578125" style="591"/>
    <col min="7169" max="7169" width="53.28515625" style="591" customWidth="1"/>
    <col min="7170" max="7170" width="50.42578125" style="591" customWidth="1"/>
    <col min="7171" max="7171" width="16.7109375" style="591" bestFit="1" customWidth="1"/>
    <col min="7172" max="7172" width="23.140625" style="591" bestFit="1" customWidth="1"/>
    <col min="7173" max="7173" width="7.42578125" style="591" bestFit="1" customWidth="1"/>
    <col min="7174" max="7174" width="7.85546875" style="591" bestFit="1" customWidth="1"/>
    <col min="7175" max="7175" width="8.42578125" style="591" bestFit="1" customWidth="1"/>
    <col min="7176" max="7176" width="17" style="591" bestFit="1" customWidth="1"/>
    <col min="7177" max="7177" width="7.85546875" style="591" bestFit="1" customWidth="1"/>
    <col min="7178" max="7178" width="20.42578125" style="591" bestFit="1" customWidth="1"/>
    <col min="7179" max="7179" width="16.140625" style="591" bestFit="1" customWidth="1"/>
    <col min="7180" max="7180" width="14.5703125" style="591" bestFit="1" customWidth="1"/>
    <col min="7181" max="7424" width="11.42578125" style="591"/>
    <col min="7425" max="7425" width="53.28515625" style="591" customWidth="1"/>
    <col min="7426" max="7426" width="50.42578125" style="591" customWidth="1"/>
    <col min="7427" max="7427" width="16.7109375" style="591" bestFit="1" customWidth="1"/>
    <col min="7428" max="7428" width="23.140625" style="591" bestFit="1" customWidth="1"/>
    <col min="7429" max="7429" width="7.42578125" style="591" bestFit="1" customWidth="1"/>
    <col min="7430" max="7430" width="7.85546875" style="591" bestFit="1" customWidth="1"/>
    <col min="7431" max="7431" width="8.42578125" style="591" bestFit="1" customWidth="1"/>
    <col min="7432" max="7432" width="17" style="591" bestFit="1" customWidth="1"/>
    <col min="7433" max="7433" width="7.85546875" style="591" bestFit="1" customWidth="1"/>
    <col min="7434" max="7434" width="20.42578125" style="591" bestFit="1" customWidth="1"/>
    <col min="7435" max="7435" width="16.140625" style="591" bestFit="1" customWidth="1"/>
    <col min="7436" max="7436" width="14.5703125" style="591" bestFit="1" customWidth="1"/>
    <col min="7437" max="7680" width="11.42578125" style="591"/>
    <col min="7681" max="7681" width="53.28515625" style="591" customWidth="1"/>
    <col min="7682" max="7682" width="50.42578125" style="591" customWidth="1"/>
    <col min="7683" max="7683" width="16.7109375" style="591" bestFit="1" customWidth="1"/>
    <col min="7684" max="7684" width="23.140625" style="591" bestFit="1" customWidth="1"/>
    <col min="7685" max="7685" width="7.42578125" style="591" bestFit="1" customWidth="1"/>
    <col min="7686" max="7686" width="7.85546875" style="591" bestFit="1" customWidth="1"/>
    <col min="7687" max="7687" width="8.42578125" style="591" bestFit="1" customWidth="1"/>
    <col min="7688" max="7688" width="17" style="591" bestFit="1" customWidth="1"/>
    <col min="7689" max="7689" width="7.85546875" style="591" bestFit="1" customWidth="1"/>
    <col min="7690" max="7690" width="20.42578125" style="591" bestFit="1" customWidth="1"/>
    <col min="7691" max="7691" width="16.140625" style="591" bestFit="1" customWidth="1"/>
    <col min="7692" max="7692" width="14.5703125" style="591" bestFit="1" customWidth="1"/>
    <col min="7693" max="7936" width="11.42578125" style="591"/>
    <col min="7937" max="7937" width="53.28515625" style="591" customWidth="1"/>
    <col min="7938" max="7938" width="50.42578125" style="591" customWidth="1"/>
    <col min="7939" max="7939" width="16.7109375" style="591" bestFit="1" customWidth="1"/>
    <col min="7940" max="7940" width="23.140625" style="591" bestFit="1" customWidth="1"/>
    <col min="7941" max="7941" width="7.42578125" style="591" bestFit="1" customWidth="1"/>
    <col min="7942" max="7942" width="7.85546875" style="591" bestFit="1" customWidth="1"/>
    <col min="7943" max="7943" width="8.42578125" style="591" bestFit="1" customWidth="1"/>
    <col min="7944" max="7944" width="17" style="591" bestFit="1" customWidth="1"/>
    <col min="7945" max="7945" width="7.85546875" style="591" bestFit="1" customWidth="1"/>
    <col min="7946" max="7946" width="20.42578125" style="591" bestFit="1" customWidth="1"/>
    <col min="7947" max="7947" width="16.140625" style="591" bestFit="1" customWidth="1"/>
    <col min="7948" max="7948" width="14.5703125" style="591" bestFit="1" customWidth="1"/>
    <col min="7949" max="8192" width="11.42578125" style="591"/>
    <col min="8193" max="8193" width="53.28515625" style="591" customWidth="1"/>
    <col min="8194" max="8194" width="50.42578125" style="591" customWidth="1"/>
    <col min="8195" max="8195" width="16.7109375" style="591" bestFit="1" customWidth="1"/>
    <col min="8196" max="8196" width="23.140625" style="591" bestFit="1" customWidth="1"/>
    <col min="8197" max="8197" width="7.42578125" style="591" bestFit="1" customWidth="1"/>
    <col min="8198" max="8198" width="7.85546875" style="591" bestFit="1" customWidth="1"/>
    <col min="8199" max="8199" width="8.42578125" style="591" bestFit="1" customWidth="1"/>
    <col min="8200" max="8200" width="17" style="591" bestFit="1" customWidth="1"/>
    <col min="8201" max="8201" width="7.85546875" style="591" bestFit="1" customWidth="1"/>
    <col min="8202" max="8202" width="20.42578125" style="591" bestFit="1" customWidth="1"/>
    <col min="8203" max="8203" width="16.140625" style="591" bestFit="1" customWidth="1"/>
    <col min="8204" max="8204" width="14.5703125" style="591" bestFit="1" customWidth="1"/>
    <col min="8205" max="8448" width="11.42578125" style="591"/>
    <col min="8449" max="8449" width="53.28515625" style="591" customWidth="1"/>
    <col min="8450" max="8450" width="50.42578125" style="591" customWidth="1"/>
    <col min="8451" max="8451" width="16.7109375" style="591" bestFit="1" customWidth="1"/>
    <col min="8452" max="8452" width="23.140625" style="591" bestFit="1" customWidth="1"/>
    <col min="8453" max="8453" width="7.42578125" style="591" bestFit="1" customWidth="1"/>
    <col min="8454" max="8454" width="7.85546875" style="591" bestFit="1" customWidth="1"/>
    <col min="8455" max="8455" width="8.42578125" style="591" bestFit="1" customWidth="1"/>
    <col min="8456" max="8456" width="17" style="591" bestFit="1" customWidth="1"/>
    <col min="8457" max="8457" width="7.85546875" style="591" bestFit="1" customWidth="1"/>
    <col min="8458" max="8458" width="20.42578125" style="591" bestFit="1" customWidth="1"/>
    <col min="8459" max="8459" width="16.140625" style="591" bestFit="1" customWidth="1"/>
    <col min="8460" max="8460" width="14.5703125" style="591" bestFit="1" customWidth="1"/>
    <col min="8461" max="8704" width="11.42578125" style="591"/>
    <col min="8705" max="8705" width="53.28515625" style="591" customWidth="1"/>
    <col min="8706" max="8706" width="50.42578125" style="591" customWidth="1"/>
    <col min="8707" max="8707" width="16.7109375" style="591" bestFit="1" customWidth="1"/>
    <col min="8708" max="8708" width="23.140625" style="591" bestFit="1" customWidth="1"/>
    <col min="8709" max="8709" width="7.42578125" style="591" bestFit="1" customWidth="1"/>
    <col min="8710" max="8710" width="7.85546875" style="591" bestFit="1" customWidth="1"/>
    <col min="8711" max="8711" width="8.42578125" style="591" bestFit="1" customWidth="1"/>
    <col min="8712" max="8712" width="17" style="591" bestFit="1" customWidth="1"/>
    <col min="8713" max="8713" width="7.85546875" style="591" bestFit="1" customWidth="1"/>
    <col min="8714" max="8714" width="20.42578125" style="591" bestFit="1" customWidth="1"/>
    <col min="8715" max="8715" width="16.140625" style="591" bestFit="1" customWidth="1"/>
    <col min="8716" max="8716" width="14.5703125" style="591" bestFit="1" customWidth="1"/>
    <col min="8717" max="8960" width="11.42578125" style="591"/>
    <col min="8961" max="8961" width="53.28515625" style="591" customWidth="1"/>
    <col min="8962" max="8962" width="50.42578125" style="591" customWidth="1"/>
    <col min="8963" max="8963" width="16.7109375" style="591" bestFit="1" customWidth="1"/>
    <col min="8964" max="8964" width="23.140625" style="591" bestFit="1" customWidth="1"/>
    <col min="8965" max="8965" width="7.42578125" style="591" bestFit="1" customWidth="1"/>
    <col min="8966" max="8966" width="7.85546875" style="591" bestFit="1" customWidth="1"/>
    <col min="8967" max="8967" width="8.42578125" style="591" bestFit="1" customWidth="1"/>
    <col min="8968" max="8968" width="17" style="591" bestFit="1" customWidth="1"/>
    <col min="8969" max="8969" width="7.85546875" style="591" bestFit="1" customWidth="1"/>
    <col min="8970" max="8970" width="20.42578125" style="591" bestFit="1" customWidth="1"/>
    <col min="8971" max="8971" width="16.140625" style="591" bestFit="1" customWidth="1"/>
    <col min="8972" max="8972" width="14.5703125" style="591" bestFit="1" customWidth="1"/>
    <col min="8973" max="9216" width="11.42578125" style="591"/>
    <col min="9217" max="9217" width="53.28515625" style="591" customWidth="1"/>
    <col min="9218" max="9218" width="50.42578125" style="591" customWidth="1"/>
    <col min="9219" max="9219" width="16.7109375" style="591" bestFit="1" customWidth="1"/>
    <col min="9220" max="9220" width="23.140625" style="591" bestFit="1" customWidth="1"/>
    <col min="9221" max="9221" width="7.42578125" style="591" bestFit="1" customWidth="1"/>
    <col min="9222" max="9222" width="7.85546875" style="591" bestFit="1" customWidth="1"/>
    <col min="9223" max="9223" width="8.42578125" style="591" bestFit="1" customWidth="1"/>
    <col min="9224" max="9224" width="17" style="591" bestFit="1" customWidth="1"/>
    <col min="9225" max="9225" width="7.85546875" style="591" bestFit="1" customWidth="1"/>
    <col min="9226" max="9226" width="20.42578125" style="591" bestFit="1" customWidth="1"/>
    <col min="9227" max="9227" width="16.140625" style="591" bestFit="1" customWidth="1"/>
    <col min="9228" max="9228" width="14.5703125" style="591" bestFit="1" customWidth="1"/>
    <col min="9229" max="9472" width="11.42578125" style="591"/>
    <col min="9473" max="9473" width="53.28515625" style="591" customWidth="1"/>
    <col min="9474" max="9474" width="50.42578125" style="591" customWidth="1"/>
    <col min="9475" max="9475" width="16.7109375" style="591" bestFit="1" customWidth="1"/>
    <col min="9476" max="9476" width="23.140625" style="591" bestFit="1" customWidth="1"/>
    <col min="9477" max="9477" width="7.42578125" style="591" bestFit="1" customWidth="1"/>
    <col min="9478" max="9478" width="7.85546875" style="591" bestFit="1" customWidth="1"/>
    <col min="9479" max="9479" width="8.42578125" style="591" bestFit="1" customWidth="1"/>
    <col min="9480" max="9480" width="17" style="591" bestFit="1" customWidth="1"/>
    <col min="9481" max="9481" width="7.85546875" style="591" bestFit="1" customWidth="1"/>
    <col min="9482" max="9482" width="20.42578125" style="591" bestFit="1" customWidth="1"/>
    <col min="9483" max="9483" width="16.140625" style="591" bestFit="1" customWidth="1"/>
    <col min="9484" max="9484" width="14.5703125" style="591" bestFit="1" customWidth="1"/>
    <col min="9485" max="9728" width="11.42578125" style="591"/>
    <col min="9729" max="9729" width="53.28515625" style="591" customWidth="1"/>
    <col min="9730" max="9730" width="50.42578125" style="591" customWidth="1"/>
    <col min="9731" max="9731" width="16.7109375" style="591" bestFit="1" customWidth="1"/>
    <col min="9732" max="9732" width="23.140625" style="591" bestFit="1" customWidth="1"/>
    <col min="9733" max="9733" width="7.42578125" style="591" bestFit="1" customWidth="1"/>
    <col min="9734" max="9734" width="7.85546875" style="591" bestFit="1" customWidth="1"/>
    <col min="9735" max="9735" width="8.42578125" style="591" bestFit="1" customWidth="1"/>
    <col min="9736" max="9736" width="17" style="591" bestFit="1" customWidth="1"/>
    <col min="9737" max="9737" width="7.85546875" style="591" bestFit="1" customWidth="1"/>
    <col min="9738" max="9738" width="20.42578125" style="591" bestFit="1" customWidth="1"/>
    <col min="9739" max="9739" width="16.140625" style="591" bestFit="1" customWidth="1"/>
    <col min="9740" max="9740" width="14.5703125" style="591" bestFit="1" customWidth="1"/>
    <col min="9741" max="9984" width="11.42578125" style="591"/>
    <col min="9985" max="9985" width="53.28515625" style="591" customWidth="1"/>
    <col min="9986" max="9986" width="50.42578125" style="591" customWidth="1"/>
    <col min="9987" max="9987" width="16.7109375" style="591" bestFit="1" customWidth="1"/>
    <col min="9988" max="9988" width="23.140625" style="591" bestFit="1" customWidth="1"/>
    <col min="9989" max="9989" width="7.42578125" style="591" bestFit="1" customWidth="1"/>
    <col min="9990" max="9990" width="7.85546875" style="591" bestFit="1" customWidth="1"/>
    <col min="9991" max="9991" width="8.42578125" style="591" bestFit="1" customWidth="1"/>
    <col min="9992" max="9992" width="17" style="591" bestFit="1" customWidth="1"/>
    <col min="9993" max="9993" width="7.85546875" style="591" bestFit="1" customWidth="1"/>
    <col min="9994" max="9994" width="20.42578125" style="591" bestFit="1" customWidth="1"/>
    <col min="9995" max="9995" width="16.140625" style="591" bestFit="1" customWidth="1"/>
    <col min="9996" max="9996" width="14.5703125" style="591" bestFit="1" customWidth="1"/>
    <col min="9997" max="10240" width="11.42578125" style="591"/>
    <col min="10241" max="10241" width="53.28515625" style="591" customWidth="1"/>
    <col min="10242" max="10242" width="50.42578125" style="591" customWidth="1"/>
    <col min="10243" max="10243" width="16.7109375" style="591" bestFit="1" customWidth="1"/>
    <col min="10244" max="10244" width="23.140625" style="591" bestFit="1" customWidth="1"/>
    <col min="10245" max="10245" width="7.42578125" style="591" bestFit="1" customWidth="1"/>
    <col min="10246" max="10246" width="7.85546875" style="591" bestFit="1" customWidth="1"/>
    <col min="10247" max="10247" width="8.42578125" style="591" bestFit="1" customWidth="1"/>
    <col min="10248" max="10248" width="17" style="591" bestFit="1" customWidth="1"/>
    <col min="10249" max="10249" width="7.85546875" style="591" bestFit="1" customWidth="1"/>
    <col min="10250" max="10250" width="20.42578125" style="591" bestFit="1" customWidth="1"/>
    <col min="10251" max="10251" width="16.140625" style="591" bestFit="1" customWidth="1"/>
    <col min="10252" max="10252" width="14.5703125" style="591" bestFit="1" customWidth="1"/>
    <col min="10253" max="10496" width="11.42578125" style="591"/>
    <col min="10497" max="10497" width="53.28515625" style="591" customWidth="1"/>
    <col min="10498" max="10498" width="50.42578125" style="591" customWidth="1"/>
    <col min="10499" max="10499" width="16.7109375" style="591" bestFit="1" customWidth="1"/>
    <col min="10500" max="10500" width="23.140625" style="591" bestFit="1" customWidth="1"/>
    <col min="10501" max="10501" width="7.42578125" style="591" bestFit="1" customWidth="1"/>
    <col min="10502" max="10502" width="7.85546875" style="591" bestFit="1" customWidth="1"/>
    <col min="10503" max="10503" width="8.42578125" style="591" bestFit="1" customWidth="1"/>
    <col min="10504" max="10504" width="17" style="591" bestFit="1" customWidth="1"/>
    <col min="10505" max="10505" width="7.85546875" style="591" bestFit="1" customWidth="1"/>
    <col min="10506" max="10506" width="20.42578125" style="591" bestFit="1" customWidth="1"/>
    <col min="10507" max="10507" width="16.140625" style="591" bestFit="1" customWidth="1"/>
    <col min="10508" max="10508" width="14.5703125" style="591" bestFit="1" customWidth="1"/>
    <col min="10509" max="10752" width="11.42578125" style="591"/>
    <col min="10753" max="10753" width="53.28515625" style="591" customWidth="1"/>
    <col min="10754" max="10754" width="50.42578125" style="591" customWidth="1"/>
    <col min="10755" max="10755" width="16.7109375" style="591" bestFit="1" customWidth="1"/>
    <col min="10756" max="10756" width="23.140625" style="591" bestFit="1" customWidth="1"/>
    <col min="10757" max="10757" width="7.42578125" style="591" bestFit="1" customWidth="1"/>
    <col min="10758" max="10758" width="7.85546875" style="591" bestFit="1" customWidth="1"/>
    <col min="10759" max="10759" width="8.42578125" style="591" bestFit="1" customWidth="1"/>
    <col min="10760" max="10760" width="17" style="591" bestFit="1" customWidth="1"/>
    <col min="10761" max="10761" width="7.85546875" style="591" bestFit="1" customWidth="1"/>
    <col min="10762" max="10762" width="20.42578125" style="591" bestFit="1" customWidth="1"/>
    <col min="10763" max="10763" width="16.140625" style="591" bestFit="1" customWidth="1"/>
    <col min="10764" max="10764" width="14.5703125" style="591" bestFit="1" customWidth="1"/>
    <col min="10765" max="11008" width="11.42578125" style="591"/>
    <col min="11009" max="11009" width="53.28515625" style="591" customWidth="1"/>
    <col min="11010" max="11010" width="50.42578125" style="591" customWidth="1"/>
    <col min="11011" max="11011" width="16.7109375" style="591" bestFit="1" customWidth="1"/>
    <col min="11012" max="11012" width="23.140625" style="591" bestFit="1" customWidth="1"/>
    <col min="11013" max="11013" width="7.42578125" style="591" bestFit="1" customWidth="1"/>
    <col min="11014" max="11014" width="7.85546875" style="591" bestFit="1" customWidth="1"/>
    <col min="11015" max="11015" width="8.42578125" style="591" bestFit="1" customWidth="1"/>
    <col min="11016" max="11016" width="17" style="591" bestFit="1" customWidth="1"/>
    <col min="11017" max="11017" width="7.85546875" style="591" bestFit="1" customWidth="1"/>
    <col min="11018" max="11018" width="20.42578125" style="591" bestFit="1" customWidth="1"/>
    <col min="11019" max="11019" width="16.140625" style="591" bestFit="1" customWidth="1"/>
    <col min="11020" max="11020" width="14.5703125" style="591" bestFit="1" customWidth="1"/>
    <col min="11021" max="11264" width="11.42578125" style="591"/>
    <col min="11265" max="11265" width="53.28515625" style="591" customWidth="1"/>
    <col min="11266" max="11266" width="50.42578125" style="591" customWidth="1"/>
    <col min="11267" max="11267" width="16.7109375" style="591" bestFit="1" customWidth="1"/>
    <col min="11268" max="11268" width="23.140625" style="591" bestFit="1" customWidth="1"/>
    <col min="11269" max="11269" width="7.42578125" style="591" bestFit="1" customWidth="1"/>
    <col min="11270" max="11270" width="7.85546875" style="591" bestFit="1" customWidth="1"/>
    <col min="11271" max="11271" width="8.42578125" style="591" bestFit="1" customWidth="1"/>
    <col min="11272" max="11272" width="17" style="591" bestFit="1" customWidth="1"/>
    <col min="11273" max="11273" width="7.85546875" style="591" bestFit="1" customWidth="1"/>
    <col min="11274" max="11274" width="20.42578125" style="591" bestFit="1" customWidth="1"/>
    <col min="11275" max="11275" width="16.140625" style="591" bestFit="1" customWidth="1"/>
    <col min="11276" max="11276" width="14.5703125" style="591" bestFit="1" customWidth="1"/>
    <col min="11277" max="11520" width="11.42578125" style="591"/>
    <col min="11521" max="11521" width="53.28515625" style="591" customWidth="1"/>
    <col min="11522" max="11522" width="50.42578125" style="591" customWidth="1"/>
    <col min="11523" max="11523" width="16.7109375" style="591" bestFit="1" customWidth="1"/>
    <col min="11524" max="11524" width="23.140625" style="591" bestFit="1" customWidth="1"/>
    <col min="11525" max="11525" width="7.42578125" style="591" bestFit="1" customWidth="1"/>
    <col min="11526" max="11526" width="7.85546875" style="591" bestFit="1" customWidth="1"/>
    <col min="11527" max="11527" width="8.42578125" style="591" bestFit="1" customWidth="1"/>
    <col min="11528" max="11528" width="17" style="591" bestFit="1" customWidth="1"/>
    <col min="11529" max="11529" width="7.85546875" style="591" bestFit="1" customWidth="1"/>
    <col min="11530" max="11530" width="20.42578125" style="591" bestFit="1" customWidth="1"/>
    <col min="11531" max="11531" width="16.140625" style="591" bestFit="1" customWidth="1"/>
    <col min="11532" max="11532" width="14.5703125" style="591" bestFit="1" customWidth="1"/>
    <col min="11533" max="11776" width="11.42578125" style="591"/>
    <col min="11777" max="11777" width="53.28515625" style="591" customWidth="1"/>
    <col min="11778" max="11778" width="50.42578125" style="591" customWidth="1"/>
    <col min="11779" max="11779" width="16.7109375" style="591" bestFit="1" customWidth="1"/>
    <col min="11780" max="11780" width="23.140625" style="591" bestFit="1" customWidth="1"/>
    <col min="11781" max="11781" width="7.42578125" style="591" bestFit="1" customWidth="1"/>
    <col min="11782" max="11782" width="7.85546875" style="591" bestFit="1" customWidth="1"/>
    <col min="11783" max="11783" width="8.42578125" style="591" bestFit="1" customWidth="1"/>
    <col min="11784" max="11784" width="17" style="591" bestFit="1" customWidth="1"/>
    <col min="11785" max="11785" width="7.85546875" style="591" bestFit="1" customWidth="1"/>
    <col min="11786" max="11786" width="20.42578125" style="591" bestFit="1" customWidth="1"/>
    <col min="11787" max="11787" width="16.140625" style="591" bestFit="1" customWidth="1"/>
    <col min="11788" max="11788" width="14.5703125" style="591" bestFit="1" customWidth="1"/>
    <col min="11789" max="12032" width="11.42578125" style="591"/>
    <col min="12033" max="12033" width="53.28515625" style="591" customWidth="1"/>
    <col min="12034" max="12034" width="50.42578125" style="591" customWidth="1"/>
    <col min="12035" max="12035" width="16.7109375" style="591" bestFit="1" customWidth="1"/>
    <col min="12036" max="12036" width="23.140625" style="591" bestFit="1" customWidth="1"/>
    <col min="12037" max="12037" width="7.42578125" style="591" bestFit="1" customWidth="1"/>
    <col min="12038" max="12038" width="7.85546875" style="591" bestFit="1" customWidth="1"/>
    <col min="12039" max="12039" width="8.42578125" style="591" bestFit="1" customWidth="1"/>
    <col min="12040" max="12040" width="17" style="591" bestFit="1" customWidth="1"/>
    <col min="12041" max="12041" width="7.85546875" style="591" bestFit="1" customWidth="1"/>
    <col min="12042" max="12042" width="20.42578125" style="591" bestFit="1" customWidth="1"/>
    <col min="12043" max="12043" width="16.140625" style="591" bestFit="1" customWidth="1"/>
    <col min="12044" max="12044" width="14.5703125" style="591" bestFit="1" customWidth="1"/>
    <col min="12045" max="12288" width="11.42578125" style="591"/>
    <col min="12289" max="12289" width="53.28515625" style="591" customWidth="1"/>
    <col min="12290" max="12290" width="50.42578125" style="591" customWidth="1"/>
    <col min="12291" max="12291" width="16.7109375" style="591" bestFit="1" customWidth="1"/>
    <col min="12292" max="12292" width="23.140625" style="591" bestFit="1" customWidth="1"/>
    <col min="12293" max="12293" width="7.42578125" style="591" bestFit="1" customWidth="1"/>
    <col min="12294" max="12294" width="7.85546875" style="591" bestFit="1" customWidth="1"/>
    <col min="12295" max="12295" width="8.42578125" style="591" bestFit="1" customWidth="1"/>
    <col min="12296" max="12296" width="17" style="591" bestFit="1" customWidth="1"/>
    <col min="12297" max="12297" width="7.85546875" style="591" bestFit="1" customWidth="1"/>
    <col min="12298" max="12298" width="20.42578125" style="591" bestFit="1" customWidth="1"/>
    <col min="12299" max="12299" width="16.140625" style="591" bestFit="1" customWidth="1"/>
    <col min="12300" max="12300" width="14.5703125" style="591" bestFit="1" customWidth="1"/>
    <col min="12301" max="12544" width="11.42578125" style="591"/>
    <col min="12545" max="12545" width="53.28515625" style="591" customWidth="1"/>
    <col min="12546" max="12546" width="50.42578125" style="591" customWidth="1"/>
    <col min="12547" max="12547" width="16.7109375" style="591" bestFit="1" customWidth="1"/>
    <col min="12548" max="12548" width="23.140625" style="591" bestFit="1" customWidth="1"/>
    <col min="12549" max="12549" width="7.42578125" style="591" bestFit="1" customWidth="1"/>
    <col min="12550" max="12550" width="7.85546875" style="591" bestFit="1" customWidth="1"/>
    <col min="12551" max="12551" width="8.42578125" style="591" bestFit="1" customWidth="1"/>
    <col min="12552" max="12552" width="17" style="591" bestFit="1" customWidth="1"/>
    <col min="12553" max="12553" width="7.85546875" style="591" bestFit="1" customWidth="1"/>
    <col min="12554" max="12554" width="20.42578125" style="591" bestFit="1" customWidth="1"/>
    <col min="12555" max="12555" width="16.140625" style="591" bestFit="1" customWidth="1"/>
    <col min="12556" max="12556" width="14.5703125" style="591" bestFit="1" customWidth="1"/>
    <col min="12557" max="12800" width="11.42578125" style="591"/>
    <col min="12801" max="12801" width="53.28515625" style="591" customWidth="1"/>
    <col min="12802" max="12802" width="50.42578125" style="591" customWidth="1"/>
    <col min="12803" max="12803" width="16.7109375" style="591" bestFit="1" customWidth="1"/>
    <col min="12804" max="12804" width="23.140625" style="591" bestFit="1" customWidth="1"/>
    <col min="12805" max="12805" width="7.42578125" style="591" bestFit="1" customWidth="1"/>
    <col min="12806" max="12806" width="7.85546875" style="591" bestFit="1" customWidth="1"/>
    <col min="12807" max="12807" width="8.42578125" style="591" bestFit="1" customWidth="1"/>
    <col min="12808" max="12808" width="17" style="591" bestFit="1" customWidth="1"/>
    <col min="12809" max="12809" width="7.85546875" style="591" bestFit="1" customWidth="1"/>
    <col min="12810" max="12810" width="20.42578125" style="591" bestFit="1" customWidth="1"/>
    <col min="12811" max="12811" width="16.140625" style="591" bestFit="1" customWidth="1"/>
    <col min="12812" max="12812" width="14.5703125" style="591" bestFit="1" customWidth="1"/>
    <col min="12813" max="13056" width="11.42578125" style="591"/>
    <col min="13057" max="13057" width="53.28515625" style="591" customWidth="1"/>
    <col min="13058" max="13058" width="50.42578125" style="591" customWidth="1"/>
    <col min="13059" max="13059" width="16.7109375" style="591" bestFit="1" customWidth="1"/>
    <col min="13060" max="13060" width="23.140625" style="591" bestFit="1" customWidth="1"/>
    <col min="13061" max="13061" width="7.42578125" style="591" bestFit="1" customWidth="1"/>
    <col min="13062" max="13062" width="7.85546875" style="591" bestFit="1" customWidth="1"/>
    <col min="13063" max="13063" width="8.42578125" style="591" bestFit="1" customWidth="1"/>
    <col min="13064" max="13064" width="17" style="591" bestFit="1" customWidth="1"/>
    <col min="13065" max="13065" width="7.85546875" style="591" bestFit="1" customWidth="1"/>
    <col min="13066" max="13066" width="20.42578125" style="591" bestFit="1" customWidth="1"/>
    <col min="13067" max="13067" width="16.140625" style="591" bestFit="1" customWidth="1"/>
    <col min="13068" max="13068" width="14.5703125" style="591" bestFit="1" customWidth="1"/>
    <col min="13069" max="13312" width="11.42578125" style="591"/>
    <col min="13313" max="13313" width="53.28515625" style="591" customWidth="1"/>
    <col min="13314" max="13314" width="50.42578125" style="591" customWidth="1"/>
    <col min="13315" max="13315" width="16.7109375" style="591" bestFit="1" customWidth="1"/>
    <col min="13316" max="13316" width="23.140625" style="591" bestFit="1" customWidth="1"/>
    <col min="13317" max="13317" width="7.42578125" style="591" bestFit="1" customWidth="1"/>
    <col min="13318" max="13318" width="7.85546875" style="591" bestFit="1" customWidth="1"/>
    <col min="13319" max="13319" width="8.42578125" style="591" bestFit="1" customWidth="1"/>
    <col min="13320" max="13320" width="17" style="591" bestFit="1" customWidth="1"/>
    <col min="13321" max="13321" width="7.85546875" style="591" bestFit="1" customWidth="1"/>
    <col min="13322" max="13322" width="20.42578125" style="591" bestFit="1" customWidth="1"/>
    <col min="13323" max="13323" width="16.140625" style="591" bestFit="1" customWidth="1"/>
    <col min="13324" max="13324" width="14.5703125" style="591" bestFit="1" customWidth="1"/>
    <col min="13325" max="13568" width="11.42578125" style="591"/>
    <col min="13569" max="13569" width="53.28515625" style="591" customWidth="1"/>
    <col min="13570" max="13570" width="50.42578125" style="591" customWidth="1"/>
    <col min="13571" max="13571" width="16.7109375" style="591" bestFit="1" customWidth="1"/>
    <col min="13572" max="13572" width="23.140625" style="591" bestFit="1" customWidth="1"/>
    <col min="13573" max="13573" width="7.42578125" style="591" bestFit="1" customWidth="1"/>
    <col min="13574" max="13574" width="7.85546875" style="591" bestFit="1" customWidth="1"/>
    <col min="13575" max="13575" width="8.42578125" style="591" bestFit="1" customWidth="1"/>
    <col min="13576" max="13576" width="17" style="591" bestFit="1" customWidth="1"/>
    <col min="13577" max="13577" width="7.85546875" style="591" bestFit="1" customWidth="1"/>
    <col min="13578" max="13578" width="20.42578125" style="591" bestFit="1" customWidth="1"/>
    <col min="13579" max="13579" width="16.140625" style="591" bestFit="1" customWidth="1"/>
    <col min="13580" max="13580" width="14.5703125" style="591" bestFit="1" customWidth="1"/>
    <col min="13581" max="13824" width="11.42578125" style="591"/>
    <col min="13825" max="13825" width="53.28515625" style="591" customWidth="1"/>
    <col min="13826" max="13826" width="50.42578125" style="591" customWidth="1"/>
    <col min="13827" max="13827" width="16.7109375" style="591" bestFit="1" customWidth="1"/>
    <col min="13828" max="13828" width="23.140625" style="591" bestFit="1" customWidth="1"/>
    <col min="13829" max="13829" width="7.42578125" style="591" bestFit="1" customWidth="1"/>
    <col min="13830" max="13830" width="7.85546875" style="591" bestFit="1" customWidth="1"/>
    <col min="13831" max="13831" width="8.42578125" style="591" bestFit="1" customWidth="1"/>
    <col min="13832" max="13832" width="17" style="591" bestFit="1" customWidth="1"/>
    <col min="13833" max="13833" width="7.85546875" style="591" bestFit="1" customWidth="1"/>
    <col min="13834" max="13834" width="20.42578125" style="591" bestFit="1" customWidth="1"/>
    <col min="13835" max="13835" width="16.140625" style="591" bestFit="1" customWidth="1"/>
    <col min="13836" max="13836" width="14.5703125" style="591" bestFit="1" customWidth="1"/>
    <col min="13837" max="14080" width="11.42578125" style="591"/>
    <col min="14081" max="14081" width="53.28515625" style="591" customWidth="1"/>
    <col min="14082" max="14082" width="50.42578125" style="591" customWidth="1"/>
    <col min="14083" max="14083" width="16.7109375" style="591" bestFit="1" customWidth="1"/>
    <col min="14084" max="14084" width="23.140625" style="591" bestFit="1" customWidth="1"/>
    <col min="14085" max="14085" width="7.42578125" style="591" bestFit="1" customWidth="1"/>
    <col min="14086" max="14086" width="7.85546875" style="591" bestFit="1" customWidth="1"/>
    <col min="14087" max="14087" width="8.42578125" style="591" bestFit="1" customWidth="1"/>
    <col min="14088" max="14088" width="17" style="591" bestFit="1" customWidth="1"/>
    <col min="14089" max="14089" width="7.85546875" style="591" bestFit="1" customWidth="1"/>
    <col min="14090" max="14090" width="20.42578125" style="591" bestFit="1" customWidth="1"/>
    <col min="14091" max="14091" width="16.140625" style="591" bestFit="1" customWidth="1"/>
    <col min="14092" max="14092" width="14.5703125" style="591" bestFit="1" customWidth="1"/>
    <col min="14093" max="14336" width="11.42578125" style="591"/>
    <col min="14337" max="14337" width="53.28515625" style="591" customWidth="1"/>
    <col min="14338" max="14338" width="50.42578125" style="591" customWidth="1"/>
    <col min="14339" max="14339" width="16.7109375" style="591" bestFit="1" customWidth="1"/>
    <col min="14340" max="14340" width="23.140625" style="591" bestFit="1" customWidth="1"/>
    <col min="14341" max="14341" width="7.42578125" style="591" bestFit="1" customWidth="1"/>
    <col min="14342" max="14342" width="7.85546875" style="591" bestFit="1" customWidth="1"/>
    <col min="14343" max="14343" width="8.42578125" style="591" bestFit="1" customWidth="1"/>
    <col min="14344" max="14344" width="17" style="591" bestFit="1" customWidth="1"/>
    <col min="14345" max="14345" width="7.85546875" style="591" bestFit="1" customWidth="1"/>
    <col min="14346" max="14346" width="20.42578125" style="591" bestFit="1" customWidth="1"/>
    <col min="14347" max="14347" width="16.140625" style="591" bestFit="1" customWidth="1"/>
    <col min="14348" max="14348" width="14.5703125" style="591" bestFit="1" customWidth="1"/>
    <col min="14349" max="14592" width="11.42578125" style="591"/>
    <col min="14593" max="14593" width="53.28515625" style="591" customWidth="1"/>
    <col min="14594" max="14594" width="50.42578125" style="591" customWidth="1"/>
    <col min="14595" max="14595" width="16.7109375" style="591" bestFit="1" customWidth="1"/>
    <col min="14596" max="14596" width="23.140625" style="591" bestFit="1" customWidth="1"/>
    <col min="14597" max="14597" width="7.42578125" style="591" bestFit="1" customWidth="1"/>
    <col min="14598" max="14598" width="7.85546875" style="591" bestFit="1" customWidth="1"/>
    <col min="14599" max="14599" width="8.42578125" style="591" bestFit="1" customWidth="1"/>
    <col min="14600" max="14600" width="17" style="591" bestFit="1" customWidth="1"/>
    <col min="14601" max="14601" width="7.85546875" style="591" bestFit="1" customWidth="1"/>
    <col min="14602" max="14602" width="20.42578125" style="591" bestFit="1" customWidth="1"/>
    <col min="14603" max="14603" width="16.140625" style="591" bestFit="1" customWidth="1"/>
    <col min="14604" max="14604" width="14.5703125" style="591" bestFit="1" customWidth="1"/>
    <col min="14605" max="14848" width="11.42578125" style="591"/>
    <col min="14849" max="14849" width="53.28515625" style="591" customWidth="1"/>
    <col min="14850" max="14850" width="50.42578125" style="591" customWidth="1"/>
    <col min="14851" max="14851" width="16.7109375" style="591" bestFit="1" customWidth="1"/>
    <col min="14852" max="14852" width="23.140625" style="591" bestFit="1" customWidth="1"/>
    <col min="14853" max="14853" width="7.42578125" style="591" bestFit="1" customWidth="1"/>
    <col min="14854" max="14854" width="7.85546875" style="591" bestFit="1" customWidth="1"/>
    <col min="14855" max="14855" width="8.42578125" style="591" bestFit="1" customWidth="1"/>
    <col min="14856" max="14856" width="17" style="591" bestFit="1" customWidth="1"/>
    <col min="14857" max="14857" width="7.85546875" style="591" bestFit="1" customWidth="1"/>
    <col min="14858" max="14858" width="20.42578125" style="591" bestFit="1" customWidth="1"/>
    <col min="14859" max="14859" width="16.140625" style="591" bestFit="1" customWidth="1"/>
    <col min="14860" max="14860" width="14.5703125" style="591" bestFit="1" customWidth="1"/>
    <col min="14861" max="15104" width="11.42578125" style="591"/>
    <col min="15105" max="15105" width="53.28515625" style="591" customWidth="1"/>
    <col min="15106" max="15106" width="50.42578125" style="591" customWidth="1"/>
    <col min="15107" max="15107" width="16.7109375" style="591" bestFit="1" customWidth="1"/>
    <col min="15108" max="15108" width="23.140625" style="591" bestFit="1" customWidth="1"/>
    <col min="15109" max="15109" width="7.42578125" style="591" bestFit="1" customWidth="1"/>
    <col min="15110" max="15110" width="7.85546875" style="591" bestFit="1" customWidth="1"/>
    <col min="15111" max="15111" width="8.42578125" style="591" bestFit="1" customWidth="1"/>
    <col min="15112" max="15112" width="17" style="591" bestFit="1" customWidth="1"/>
    <col min="15113" max="15113" width="7.85546875" style="591" bestFit="1" customWidth="1"/>
    <col min="15114" max="15114" width="20.42578125" style="591" bestFit="1" customWidth="1"/>
    <col min="15115" max="15115" width="16.140625" style="591" bestFit="1" customWidth="1"/>
    <col min="15116" max="15116" width="14.5703125" style="591" bestFit="1" customWidth="1"/>
    <col min="15117" max="15360" width="11.42578125" style="591"/>
    <col min="15361" max="15361" width="53.28515625" style="591" customWidth="1"/>
    <col min="15362" max="15362" width="50.42578125" style="591" customWidth="1"/>
    <col min="15363" max="15363" width="16.7109375" style="591" bestFit="1" customWidth="1"/>
    <col min="15364" max="15364" width="23.140625" style="591" bestFit="1" customWidth="1"/>
    <col min="15365" max="15365" width="7.42578125" style="591" bestFit="1" customWidth="1"/>
    <col min="15366" max="15366" width="7.85546875" style="591" bestFit="1" customWidth="1"/>
    <col min="15367" max="15367" width="8.42578125" style="591" bestFit="1" customWidth="1"/>
    <col min="15368" max="15368" width="17" style="591" bestFit="1" customWidth="1"/>
    <col min="15369" max="15369" width="7.85546875" style="591" bestFit="1" customWidth="1"/>
    <col min="15370" max="15370" width="20.42578125" style="591" bestFit="1" customWidth="1"/>
    <col min="15371" max="15371" width="16.140625" style="591" bestFit="1" customWidth="1"/>
    <col min="15372" max="15372" width="14.5703125" style="591" bestFit="1" customWidth="1"/>
    <col min="15373" max="15616" width="11.42578125" style="591"/>
    <col min="15617" max="15617" width="53.28515625" style="591" customWidth="1"/>
    <col min="15618" max="15618" width="50.42578125" style="591" customWidth="1"/>
    <col min="15619" max="15619" width="16.7109375" style="591" bestFit="1" customWidth="1"/>
    <col min="15620" max="15620" width="23.140625" style="591" bestFit="1" customWidth="1"/>
    <col min="15621" max="15621" width="7.42578125" style="591" bestFit="1" customWidth="1"/>
    <col min="15622" max="15622" width="7.85546875" style="591" bestFit="1" customWidth="1"/>
    <col min="15623" max="15623" width="8.42578125" style="591" bestFit="1" customWidth="1"/>
    <col min="15624" max="15624" width="17" style="591" bestFit="1" customWidth="1"/>
    <col min="15625" max="15625" width="7.85546875" style="591" bestFit="1" customWidth="1"/>
    <col min="15626" max="15626" width="20.42578125" style="591" bestFit="1" customWidth="1"/>
    <col min="15627" max="15627" width="16.140625" style="591" bestFit="1" customWidth="1"/>
    <col min="15628" max="15628" width="14.5703125" style="591" bestFit="1" customWidth="1"/>
    <col min="15629" max="15872" width="11.42578125" style="591"/>
    <col min="15873" max="15873" width="53.28515625" style="591" customWidth="1"/>
    <col min="15874" max="15874" width="50.42578125" style="591" customWidth="1"/>
    <col min="15875" max="15875" width="16.7109375" style="591" bestFit="1" customWidth="1"/>
    <col min="15876" max="15876" width="23.140625" style="591" bestFit="1" customWidth="1"/>
    <col min="15877" max="15877" width="7.42578125" style="591" bestFit="1" customWidth="1"/>
    <col min="15878" max="15878" width="7.85546875" style="591" bestFit="1" customWidth="1"/>
    <col min="15879" max="15879" width="8.42578125" style="591" bestFit="1" customWidth="1"/>
    <col min="15880" max="15880" width="17" style="591" bestFit="1" customWidth="1"/>
    <col min="15881" max="15881" width="7.85546875" style="591" bestFit="1" customWidth="1"/>
    <col min="15882" max="15882" width="20.42578125" style="591" bestFit="1" customWidth="1"/>
    <col min="15883" max="15883" width="16.140625" style="591" bestFit="1" customWidth="1"/>
    <col min="15884" max="15884" width="14.5703125" style="591" bestFit="1" customWidth="1"/>
    <col min="15885" max="16128" width="11.42578125" style="591"/>
    <col min="16129" max="16129" width="53.28515625" style="591" customWidth="1"/>
    <col min="16130" max="16130" width="50.42578125" style="591" customWidth="1"/>
    <col min="16131" max="16131" width="16.7109375" style="591" bestFit="1" customWidth="1"/>
    <col min="16132" max="16132" width="23.140625" style="591" bestFit="1" customWidth="1"/>
    <col min="16133" max="16133" width="7.42578125" style="591" bestFit="1" customWidth="1"/>
    <col min="16134" max="16134" width="7.85546875" style="591" bestFit="1" customWidth="1"/>
    <col min="16135" max="16135" width="8.42578125" style="591" bestFit="1" customWidth="1"/>
    <col min="16136" max="16136" width="17" style="591" bestFit="1" customWidth="1"/>
    <col min="16137" max="16137" width="7.85546875" style="591" bestFit="1" customWidth="1"/>
    <col min="16138" max="16138" width="20.42578125" style="591" bestFit="1" customWidth="1"/>
    <col min="16139" max="16139" width="16.140625" style="591" bestFit="1" customWidth="1"/>
    <col min="16140" max="16140" width="14.5703125" style="591" bestFit="1" customWidth="1"/>
    <col min="16141" max="16384" width="11.42578125" style="591"/>
  </cols>
  <sheetData>
    <row r="1" spans="1:14" s="567" customFormat="1">
      <c r="B1" s="568"/>
      <c r="C1" s="569"/>
      <c r="D1" s="569"/>
      <c r="E1" s="569"/>
      <c r="F1" s="569"/>
      <c r="G1" s="569"/>
      <c r="H1" s="569"/>
      <c r="I1" s="569"/>
      <c r="J1" s="569"/>
      <c r="K1" s="570"/>
    </row>
    <row r="2" spans="1:14" s="567" customFormat="1">
      <c r="A2" s="571" t="s">
        <v>235</v>
      </c>
      <c r="B2" s="572"/>
      <c r="C2" s="573"/>
      <c r="D2" s="573"/>
      <c r="E2" s="573"/>
      <c r="F2" s="573"/>
      <c r="G2" s="573"/>
      <c r="H2" s="573"/>
      <c r="I2" s="573"/>
      <c r="J2" s="573"/>
      <c r="K2" s="574" t="s">
        <v>234</v>
      </c>
    </row>
    <row r="3" spans="1:14" s="567" customFormat="1">
      <c r="A3" s="575" t="s">
        <v>748</v>
      </c>
      <c r="B3" s="572"/>
      <c r="C3" s="573"/>
      <c r="D3" s="573"/>
      <c r="E3" s="573"/>
      <c r="F3" s="573"/>
      <c r="G3" s="573"/>
      <c r="H3" s="573"/>
      <c r="I3" s="573"/>
      <c r="J3" s="573"/>
      <c r="K3" s="576"/>
    </row>
    <row r="4" spans="1:14" s="567" customFormat="1">
      <c r="A4" s="577" t="s">
        <v>835</v>
      </c>
      <c r="B4" s="572"/>
      <c r="C4" s="573"/>
      <c r="D4" s="573"/>
      <c r="E4" s="573"/>
      <c r="F4" s="573"/>
      <c r="G4" s="573"/>
      <c r="H4" s="573"/>
      <c r="I4" s="573"/>
      <c r="J4" s="573"/>
      <c r="K4" s="576"/>
    </row>
    <row r="5" spans="1:14" s="567" customFormat="1">
      <c r="A5" s="578" t="s">
        <v>836</v>
      </c>
      <c r="B5" s="572"/>
      <c r="C5" s="573"/>
      <c r="D5" s="573"/>
      <c r="E5" s="573"/>
      <c r="F5" s="573"/>
      <c r="G5" s="573"/>
      <c r="H5" s="573"/>
      <c r="I5" s="573"/>
      <c r="J5" s="573"/>
      <c r="K5" s="576"/>
    </row>
    <row r="6" spans="1:14" s="567" customFormat="1" ht="18.75" customHeight="1">
      <c r="A6" s="579"/>
      <c r="B6" s="568"/>
      <c r="C6" s="569"/>
      <c r="D6" s="580"/>
      <c r="E6" s="580"/>
      <c r="F6" s="580"/>
      <c r="G6" s="580"/>
      <c r="H6" s="580"/>
      <c r="I6" s="580"/>
      <c r="J6" s="569"/>
      <c r="K6" s="581"/>
    </row>
    <row r="7" spans="1:14" s="567" customFormat="1" ht="15.75" thickBot="1">
      <c r="A7" s="582" t="s">
        <v>228</v>
      </c>
      <c r="B7" s="583" t="s">
        <v>227</v>
      </c>
      <c r="C7" s="582" t="s">
        <v>226</v>
      </c>
      <c r="D7" s="582"/>
      <c r="E7" s="1426" t="s">
        <v>225</v>
      </c>
      <c r="F7" s="1426"/>
      <c r="G7" s="582" t="s">
        <v>224</v>
      </c>
      <c r="H7" s="1426" t="s">
        <v>223</v>
      </c>
      <c r="I7" s="1426"/>
      <c r="J7" s="582" t="s">
        <v>222</v>
      </c>
      <c r="K7" s="584" t="s">
        <v>221</v>
      </c>
    </row>
    <row r="8" spans="1:14" s="585" customFormat="1">
      <c r="A8" s="1427" t="s">
        <v>220</v>
      </c>
      <c r="B8" s="1422" t="s">
        <v>219</v>
      </c>
      <c r="C8" s="1422" t="s">
        <v>218</v>
      </c>
      <c r="D8" s="1422" t="s">
        <v>217</v>
      </c>
      <c r="E8" s="1422" t="s">
        <v>216</v>
      </c>
      <c r="F8" s="1422"/>
      <c r="G8" s="1422" t="s">
        <v>215</v>
      </c>
      <c r="H8" s="1422" t="s">
        <v>214</v>
      </c>
      <c r="I8" s="1422"/>
      <c r="J8" s="1422" t="s">
        <v>240</v>
      </c>
      <c r="K8" s="1424" t="s">
        <v>212</v>
      </c>
    </row>
    <row r="9" spans="1:14" s="585" customFormat="1">
      <c r="A9" s="1428"/>
      <c r="B9" s="1423"/>
      <c r="C9" s="1423"/>
      <c r="D9" s="1423"/>
      <c r="E9" s="586" t="s">
        <v>211</v>
      </c>
      <c r="F9" s="586" t="s">
        <v>210</v>
      </c>
      <c r="G9" s="1423"/>
      <c r="H9" s="586" t="s">
        <v>211</v>
      </c>
      <c r="I9" s="586" t="s">
        <v>210</v>
      </c>
      <c r="J9" s="1423"/>
      <c r="K9" s="1425"/>
    </row>
    <row r="10" spans="1:14" ht="15.95" customHeight="1">
      <c r="A10" s="587" t="s">
        <v>208</v>
      </c>
      <c r="B10" s="588"/>
      <c r="C10" s="589"/>
      <c r="D10" s="589"/>
      <c r="E10" s="589"/>
      <c r="F10" s="589"/>
      <c r="G10" s="589"/>
      <c r="H10" s="589"/>
      <c r="I10" s="589"/>
      <c r="J10" s="589"/>
      <c r="K10" s="590">
        <f>SUM(K11)</f>
        <v>0</v>
      </c>
    </row>
    <row r="11" spans="1:14" ht="19.5" customHeight="1">
      <c r="A11" s="592"/>
      <c r="B11" s="593"/>
      <c r="C11" s="594"/>
      <c r="D11" s="595"/>
      <c r="E11" s="595"/>
      <c r="F11" s="595"/>
      <c r="G11" s="594"/>
      <c r="H11" s="594"/>
      <c r="I11" s="594"/>
      <c r="J11" s="594"/>
      <c r="K11" s="596"/>
    </row>
    <row r="12" spans="1:14" ht="15.95" customHeight="1">
      <c r="A12" s="587" t="s">
        <v>207</v>
      </c>
      <c r="B12" s="588"/>
      <c r="C12" s="589"/>
      <c r="D12" s="597"/>
      <c r="E12" s="597"/>
      <c r="F12" s="597"/>
      <c r="G12" s="589"/>
      <c r="H12" s="589"/>
      <c r="I12" s="589"/>
      <c r="J12" s="589"/>
      <c r="K12" s="590">
        <f>SUM(K13:K25)</f>
        <v>1073470852.05</v>
      </c>
    </row>
    <row r="13" spans="1:14" ht="44.25" customHeight="1">
      <c r="A13" s="598" t="s">
        <v>837</v>
      </c>
      <c r="B13" s="599" t="s">
        <v>838</v>
      </c>
      <c r="C13" s="600" t="s">
        <v>109</v>
      </c>
      <c r="D13" s="601">
        <v>1.4999999999999999E-2</v>
      </c>
      <c r="E13" s="602">
        <v>1E-3</v>
      </c>
      <c r="F13" s="603">
        <v>0.06</v>
      </c>
      <c r="G13" s="600"/>
      <c r="H13" s="604"/>
      <c r="I13" s="594"/>
      <c r="J13" s="605" t="s">
        <v>839</v>
      </c>
      <c r="K13" s="606">
        <v>416674412.93000001</v>
      </c>
      <c r="L13" s="607"/>
      <c r="M13" s="608"/>
      <c r="N13" s="608"/>
    </row>
    <row r="14" spans="1:14" ht="45">
      <c r="A14" s="598" t="s">
        <v>840</v>
      </c>
      <c r="B14" s="609" t="s">
        <v>841</v>
      </c>
      <c r="C14" s="600" t="s">
        <v>109</v>
      </c>
      <c r="D14" s="610" t="s">
        <v>842</v>
      </c>
      <c r="E14" s="611"/>
      <c r="F14" s="611"/>
      <c r="G14" s="611"/>
      <c r="H14" s="612"/>
      <c r="I14" s="594"/>
      <c r="J14" s="605" t="s">
        <v>843</v>
      </c>
      <c r="K14" s="606">
        <v>149045390.22</v>
      </c>
      <c r="L14" s="607"/>
      <c r="M14" s="608"/>
      <c r="N14" s="608"/>
    </row>
    <row r="15" spans="1:14" ht="30">
      <c r="A15" s="598" t="s">
        <v>844</v>
      </c>
      <c r="B15" s="604" t="s">
        <v>845</v>
      </c>
      <c r="C15" s="600" t="s">
        <v>109</v>
      </c>
      <c r="D15" s="610" t="s">
        <v>846</v>
      </c>
      <c r="E15" s="613">
        <v>4.2200000000000001E-4</v>
      </c>
      <c r="F15" s="613">
        <v>1.243E-3</v>
      </c>
      <c r="G15" s="611"/>
      <c r="H15" s="604"/>
      <c r="I15" s="594"/>
      <c r="J15" s="605" t="s">
        <v>847</v>
      </c>
      <c r="K15" s="606">
        <v>116854281.5</v>
      </c>
      <c r="L15" s="607"/>
      <c r="M15" s="608"/>
      <c r="N15" s="608"/>
    </row>
    <row r="16" spans="1:14" ht="30">
      <c r="A16" s="614" t="s">
        <v>848</v>
      </c>
      <c r="B16" s="599" t="s">
        <v>849</v>
      </c>
      <c r="C16" s="600" t="s">
        <v>109</v>
      </c>
      <c r="D16" s="615" t="s">
        <v>850</v>
      </c>
      <c r="E16" s="595"/>
      <c r="F16" s="595"/>
      <c r="G16" s="595"/>
      <c r="H16" s="594"/>
      <c r="I16" s="594"/>
      <c r="J16" s="605" t="s">
        <v>851</v>
      </c>
      <c r="K16" s="606">
        <v>100345014.17</v>
      </c>
    </row>
    <row r="17" spans="1:14" ht="45">
      <c r="A17" s="614" t="s">
        <v>852</v>
      </c>
      <c r="B17" s="599" t="s">
        <v>853</v>
      </c>
      <c r="C17" s="600" t="s">
        <v>109</v>
      </c>
      <c r="D17" s="616" t="s">
        <v>854</v>
      </c>
      <c r="E17" s="611"/>
      <c r="F17" s="611"/>
      <c r="G17" s="600"/>
      <c r="H17" s="594"/>
      <c r="I17" s="594"/>
      <c r="J17" s="605" t="s">
        <v>855</v>
      </c>
      <c r="K17" s="606">
        <v>93143673.859999999</v>
      </c>
      <c r="L17" s="607"/>
      <c r="M17" s="608"/>
      <c r="N17" s="608"/>
    </row>
    <row r="18" spans="1:14" ht="45">
      <c r="A18" s="614" t="s">
        <v>856</v>
      </c>
      <c r="B18" s="599" t="s">
        <v>853</v>
      </c>
      <c r="C18" s="600" t="s">
        <v>109</v>
      </c>
      <c r="D18" s="617">
        <v>8.6956000000000006E-2</v>
      </c>
      <c r="E18" s="611"/>
      <c r="F18" s="611"/>
      <c r="G18" s="600"/>
      <c r="H18" s="594"/>
      <c r="I18" s="594"/>
      <c r="J18" s="605" t="s">
        <v>857</v>
      </c>
      <c r="K18" s="606">
        <v>68366114.840000004</v>
      </c>
      <c r="L18" s="607"/>
      <c r="M18" s="608"/>
      <c r="N18" s="608"/>
    </row>
    <row r="19" spans="1:14" ht="30">
      <c r="A19" s="614" t="s">
        <v>858</v>
      </c>
      <c r="B19" s="599" t="s">
        <v>859</v>
      </c>
      <c r="C19" s="600" t="s">
        <v>109</v>
      </c>
      <c r="D19" s="615" t="s">
        <v>860</v>
      </c>
      <c r="E19" s="595"/>
      <c r="F19" s="595"/>
      <c r="G19" s="595"/>
      <c r="H19" s="594"/>
      <c r="I19" s="594"/>
      <c r="J19" s="605" t="s">
        <v>861</v>
      </c>
      <c r="K19" s="618">
        <v>45461097.899999999</v>
      </c>
    </row>
    <row r="20" spans="1:14" ht="30">
      <c r="A20" s="614" t="s">
        <v>862</v>
      </c>
      <c r="B20" s="599" t="s">
        <v>863</v>
      </c>
      <c r="C20" s="600" t="s">
        <v>109</v>
      </c>
      <c r="D20" s="615" t="s">
        <v>864</v>
      </c>
      <c r="E20" s="595"/>
      <c r="F20" s="595"/>
      <c r="G20" s="595"/>
      <c r="H20" s="594"/>
      <c r="I20" s="594"/>
      <c r="J20" s="605" t="s">
        <v>865</v>
      </c>
      <c r="K20" s="606">
        <v>34068864.950000003</v>
      </c>
    </row>
    <row r="21" spans="1:14" ht="45">
      <c r="A21" s="614" t="s">
        <v>866</v>
      </c>
      <c r="B21" s="599" t="s">
        <v>867</v>
      </c>
      <c r="C21" s="600" t="s">
        <v>868</v>
      </c>
      <c r="D21" s="615" t="s">
        <v>869</v>
      </c>
      <c r="E21" s="611"/>
      <c r="F21" s="611"/>
      <c r="G21" s="611"/>
      <c r="H21" s="600" t="s">
        <v>870</v>
      </c>
      <c r="I21" s="600" t="s">
        <v>871</v>
      </c>
      <c r="J21" s="605" t="s">
        <v>872</v>
      </c>
      <c r="K21" s="606">
        <v>36105033.130000003</v>
      </c>
      <c r="L21" s="607"/>
      <c r="M21" s="608"/>
      <c r="N21" s="608"/>
    </row>
    <row r="22" spans="1:14" ht="45">
      <c r="A22" s="614" t="s">
        <v>873</v>
      </c>
      <c r="B22" s="599" t="s">
        <v>867</v>
      </c>
      <c r="C22" s="600" t="s">
        <v>283</v>
      </c>
      <c r="D22" s="615" t="s">
        <v>874</v>
      </c>
      <c r="E22" s="611"/>
      <c r="F22" s="611"/>
      <c r="G22" s="600"/>
      <c r="H22" s="600" t="s">
        <v>875</v>
      </c>
      <c r="I22" s="600" t="s">
        <v>876</v>
      </c>
      <c r="J22" s="605" t="s">
        <v>877</v>
      </c>
      <c r="K22" s="606">
        <v>8695990.9000000004</v>
      </c>
      <c r="L22" s="608"/>
      <c r="M22" s="608"/>
      <c r="N22" s="608"/>
    </row>
    <row r="23" spans="1:14" ht="30">
      <c r="A23" s="614" t="s">
        <v>878</v>
      </c>
      <c r="B23" s="599" t="s">
        <v>879</v>
      </c>
      <c r="C23" s="600" t="s">
        <v>109</v>
      </c>
      <c r="D23" s="615" t="s">
        <v>850</v>
      </c>
      <c r="E23" s="595"/>
      <c r="F23" s="595"/>
      <c r="G23" s="595"/>
      <c r="H23" s="594"/>
      <c r="I23" s="594"/>
      <c r="J23" s="605" t="s">
        <v>880</v>
      </c>
      <c r="K23" s="606">
        <v>4710977.6500000004</v>
      </c>
    </row>
    <row r="24" spans="1:14" ht="45">
      <c r="A24" s="598" t="s">
        <v>881</v>
      </c>
      <c r="B24" s="599" t="s">
        <v>882</v>
      </c>
      <c r="C24" s="599" t="s">
        <v>883</v>
      </c>
      <c r="D24" s="619" t="s">
        <v>884</v>
      </c>
      <c r="E24" s="611"/>
      <c r="F24" s="611"/>
      <c r="G24" s="611"/>
      <c r="H24" s="594"/>
      <c r="I24" s="594"/>
      <c r="J24" s="605" t="s">
        <v>885</v>
      </c>
      <c r="K24" s="606"/>
    </row>
    <row r="25" spans="1:14" ht="15.95" customHeight="1">
      <c r="A25" s="592"/>
      <c r="B25" s="593"/>
      <c r="C25" s="594"/>
      <c r="D25" s="595"/>
      <c r="E25" s="595"/>
      <c r="F25" s="595"/>
      <c r="G25" s="594"/>
      <c r="H25" s="594"/>
      <c r="I25" s="594"/>
      <c r="J25" s="594"/>
      <c r="K25" s="596"/>
    </row>
    <row r="26" spans="1:14" s="567" customFormat="1" ht="15.95" customHeight="1">
      <c r="A26" s="620" t="s">
        <v>191</v>
      </c>
      <c r="B26" s="621"/>
      <c r="C26" s="622"/>
      <c r="D26" s="623"/>
      <c r="E26" s="623"/>
      <c r="F26" s="623"/>
      <c r="G26" s="622"/>
      <c r="H26" s="622"/>
      <c r="I26" s="622"/>
      <c r="J26" s="622"/>
      <c r="K26" s="624">
        <f>SUM(K27:K27)</f>
        <v>0</v>
      </c>
    </row>
    <row r="27" spans="1:14" s="567" customFormat="1" ht="15.95" customHeight="1">
      <c r="A27" s="592"/>
      <c r="B27" s="625"/>
      <c r="C27" s="626"/>
      <c r="D27" s="627"/>
      <c r="E27" s="627"/>
      <c r="F27" s="627"/>
      <c r="G27" s="626"/>
      <c r="H27" s="626"/>
      <c r="I27" s="626"/>
      <c r="J27" s="626"/>
      <c r="K27" s="628"/>
    </row>
    <row r="28" spans="1:14" ht="15.95" customHeight="1">
      <c r="A28" s="587" t="s">
        <v>179</v>
      </c>
      <c r="B28" s="588"/>
      <c r="C28" s="589"/>
      <c r="D28" s="597"/>
      <c r="E28" s="597"/>
      <c r="F28" s="597"/>
      <c r="G28" s="589"/>
      <c r="H28" s="589"/>
      <c r="I28" s="589"/>
      <c r="J28" s="589"/>
      <c r="K28" s="590">
        <f>SUM(K29:K31)</f>
        <v>10017486.869999999</v>
      </c>
    </row>
    <row r="29" spans="1:14" ht="30">
      <c r="A29" s="598" t="s">
        <v>886</v>
      </c>
      <c r="B29" s="599" t="s">
        <v>887</v>
      </c>
      <c r="C29" s="629" t="s">
        <v>888</v>
      </c>
      <c r="D29" s="611" t="s">
        <v>889</v>
      </c>
      <c r="E29" s="595"/>
      <c r="F29" s="595"/>
      <c r="G29" s="595"/>
      <c r="H29" s="600" t="s">
        <v>890</v>
      </c>
      <c r="I29" s="600" t="s">
        <v>891</v>
      </c>
      <c r="J29" s="605" t="s">
        <v>892</v>
      </c>
      <c r="K29" s="606">
        <v>5846521.8499999996</v>
      </c>
    </row>
    <row r="30" spans="1:14" ht="30">
      <c r="A30" s="598" t="s">
        <v>893</v>
      </c>
      <c r="B30" s="599" t="s">
        <v>887</v>
      </c>
      <c r="C30" s="629" t="s">
        <v>888</v>
      </c>
      <c r="D30" s="611" t="s">
        <v>894</v>
      </c>
      <c r="E30" s="595"/>
      <c r="F30" s="595"/>
      <c r="G30" s="595"/>
      <c r="H30" s="600" t="s">
        <v>895</v>
      </c>
      <c r="I30" s="600" t="s">
        <v>896</v>
      </c>
      <c r="J30" s="605" t="s">
        <v>897</v>
      </c>
      <c r="K30" s="606">
        <f>1727638.87+2443326.15</f>
        <v>4170965.02</v>
      </c>
    </row>
    <row r="31" spans="1:14" ht="15.95" customHeight="1">
      <c r="A31" s="592"/>
      <c r="B31" s="593"/>
      <c r="C31" s="594"/>
      <c r="D31" s="595"/>
      <c r="E31" s="595"/>
      <c r="F31" s="595"/>
      <c r="G31" s="594"/>
      <c r="H31" s="594"/>
      <c r="I31" s="594"/>
      <c r="J31" s="594"/>
      <c r="K31" s="596"/>
    </row>
    <row r="32" spans="1:14" ht="15.95" customHeight="1">
      <c r="A32" s="587" t="s">
        <v>152</v>
      </c>
      <c r="B32" s="588"/>
      <c r="C32" s="589"/>
      <c r="D32" s="597"/>
      <c r="E32" s="597"/>
      <c r="F32" s="597"/>
      <c r="G32" s="589"/>
      <c r="H32" s="589"/>
      <c r="I32" s="589"/>
      <c r="J32" s="589"/>
      <c r="K32" s="590">
        <f>SUM(K33:K33)</f>
        <v>0</v>
      </c>
    </row>
    <row r="33" spans="1:11" ht="15.95" customHeight="1">
      <c r="A33" s="630"/>
      <c r="B33" s="593"/>
      <c r="C33" s="594"/>
      <c r="D33" s="595"/>
      <c r="E33" s="595"/>
      <c r="F33" s="595"/>
      <c r="G33" s="594"/>
      <c r="H33" s="594"/>
      <c r="I33" s="594"/>
      <c r="J33" s="594"/>
      <c r="K33" s="596"/>
    </row>
    <row r="34" spans="1:11" ht="15.95" customHeight="1">
      <c r="A34" s="587" t="s">
        <v>151</v>
      </c>
      <c r="B34" s="588"/>
      <c r="C34" s="589"/>
      <c r="D34" s="597"/>
      <c r="E34" s="597"/>
      <c r="F34" s="597"/>
      <c r="G34" s="589"/>
      <c r="H34" s="589"/>
      <c r="I34" s="589"/>
      <c r="J34" s="589"/>
      <c r="K34" s="590">
        <f>SUM(K35:K36)</f>
        <v>37820663.100000001</v>
      </c>
    </row>
    <row r="35" spans="1:11" ht="30">
      <c r="A35" s="592" t="s">
        <v>898</v>
      </c>
      <c r="B35" s="599" t="s">
        <v>899</v>
      </c>
      <c r="C35" s="594"/>
      <c r="D35" s="595"/>
      <c r="E35" s="595"/>
      <c r="F35" s="595"/>
      <c r="G35" s="594"/>
      <c r="H35" s="594"/>
      <c r="I35" s="594"/>
      <c r="J35" s="599" t="s">
        <v>900</v>
      </c>
      <c r="K35" s="631">
        <v>37820663.100000001</v>
      </c>
    </row>
    <row r="36" spans="1:11" ht="15.95" customHeight="1">
      <c r="A36" s="630"/>
      <c r="B36" s="593"/>
      <c r="C36" s="594"/>
      <c r="D36" s="595"/>
      <c r="E36" s="595"/>
      <c r="F36" s="595"/>
      <c r="G36" s="594"/>
      <c r="H36" s="594"/>
      <c r="I36" s="594"/>
      <c r="J36" s="594"/>
      <c r="K36" s="596"/>
    </row>
    <row r="37" spans="1:11" s="567" customFormat="1" ht="15.95" customHeight="1">
      <c r="A37" s="620" t="s">
        <v>137</v>
      </c>
      <c r="B37" s="621"/>
      <c r="C37" s="622"/>
      <c r="D37" s="623"/>
      <c r="E37" s="623"/>
      <c r="F37" s="623"/>
      <c r="G37" s="622"/>
      <c r="H37" s="622"/>
      <c r="I37" s="622"/>
      <c r="J37" s="622"/>
      <c r="K37" s="624">
        <f>SUM(K38)</f>
        <v>0</v>
      </c>
    </row>
    <row r="38" spans="1:11" s="567" customFormat="1" ht="15.95" customHeight="1">
      <c r="A38" s="632"/>
      <c r="B38" s="625"/>
      <c r="C38" s="626"/>
      <c r="D38" s="627"/>
      <c r="E38" s="627"/>
      <c r="F38" s="627"/>
      <c r="G38" s="626"/>
      <c r="H38" s="626"/>
      <c r="I38" s="626"/>
      <c r="J38" s="626"/>
      <c r="K38" s="628"/>
    </row>
    <row r="39" spans="1:11" ht="15.95" customHeight="1">
      <c r="A39" s="587" t="s">
        <v>136</v>
      </c>
      <c r="B39" s="588"/>
      <c r="C39" s="589"/>
      <c r="D39" s="597"/>
      <c r="E39" s="597"/>
      <c r="F39" s="597"/>
      <c r="G39" s="589"/>
      <c r="H39" s="589"/>
      <c r="I39" s="589"/>
      <c r="J39" s="589"/>
      <c r="K39" s="590">
        <f>SUM(K40)</f>
        <v>0</v>
      </c>
    </row>
    <row r="40" spans="1:11" ht="15.95" customHeight="1">
      <c r="A40" s="630"/>
      <c r="B40" s="593"/>
      <c r="C40" s="594"/>
      <c r="D40" s="595"/>
      <c r="E40" s="595"/>
      <c r="F40" s="595"/>
      <c r="G40" s="594"/>
      <c r="H40" s="594"/>
      <c r="I40" s="594"/>
      <c r="J40" s="594"/>
      <c r="K40" s="596"/>
    </row>
    <row r="41" spans="1:11" ht="15.95" customHeight="1" thickBot="1">
      <c r="A41" s="633" t="s">
        <v>108</v>
      </c>
      <c r="B41" s="634"/>
      <c r="C41" s="635"/>
      <c r="D41" s="636"/>
      <c r="E41" s="636"/>
      <c r="F41" s="636"/>
      <c r="G41" s="635"/>
      <c r="H41" s="635"/>
      <c r="I41" s="635"/>
      <c r="J41" s="635"/>
      <c r="K41" s="637">
        <f>+K10+K12+K26+K28+K32+K34+K37+K39</f>
        <v>1121309002.0199997</v>
      </c>
    </row>
    <row r="42" spans="1:11">
      <c r="A42" s="638"/>
      <c r="B42" s="639"/>
      <c r="C42" s="640"/>
      <c r="D42" s="640"/>
      <c r="E42" s="640"/>
      <c r="F42" s="640"/>
      <c r="G42" s="640"/>
      <c r="H42" s="640"/>
      <c r="I42" s="640"/>
      <c r="J42" s="640"/>
      <c r="K42" s="641"/>
    </row>
    <row r="44" spans="1:11">
      <c r="A44" s="642" t="s">
        <v>901</v>
      </c>
    </row>
    <row r="46" spans="1:11">
      <c r="A46" s="642" t="s">
        <v>902</v>
      </c>
    </row>
  </sheetData>
  <autoFilter ref="A12:N12">
    <sortState ref="A13:N24">
      <sortCondition descending="1" ref="K12"/>
    </sortState>
  </autoFilter>
  <mergeCells count="11">
    <mergeCell ref="J8:J9"/>
    <mergeCell ref="K8:K9"/>
    <mergeCell ref="E7:F7"/>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40"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23"/>
  <sheetViews>
    <sheetView showGridLines="0" zoomScaleNormal="100" workbookViewId="0">
      <selection sqref="A1:K1"/>
    </sheetView>
  </sheetViews>
  <sheetFormatPr baseColWidth="10" defaultRowHeight="15"/>
  <cols>
    <col min="1" max="1" width="44.28515625" customWidth="1"/>
    <col min="2" max="2" width="13" customWidth="1"/>
    <col min="3" max="3" width="9.28515625" customWidth="1"/>
    <col min="4" max="4" width="16.140625" customWidth="1"/>
    <col min="5" max="5" width="11.28515625" customWidth="1"/>
    <col min="6" max="6" width="5.5703125" customWidth="1"/>
    <col min="7" max="7" width="4.42578125" customWidth="1"/>
    <col min="8" max="8" width="12.42578125" customWidth="1"/>
    <col min="9" max="9" width="10.42578125" customWidth="1"/>
    <col min="10" max="11" width="17.7109375" customWidth="1"/>
  </cols>
  <sheetData>
    <row r="1" spans="1:11" s="177" customFormat="1">
      <c r="A1" s="1429" t="s">
        <v>903</v>
      </c>
      <c r="B1" s="1429"/>
      <c r="C1" s="1429"/>
      <c r="D1" s="1429"/>
      <c r="E1" s="1429"/>
      <c r="F1" s="1429"/>
      <c r="G1" s="1429"/>
      <c r="H1" s="1429"/>
      <c r="I1" s="1429"/>
      <c r="J1" s="1429"/>
      <c r="K1" s="1429"/>
    </row>
    <row r="2" spans="1:11" s="177" customFormat="1">
      <c r="A2" s="247" t="s">
        <v>235</v>
      </c>
      <c r="B2" s="179"/>
      <c r="C2" s="179"/>
      <c r="D2" s="179"/>
      <c r="E2" s="179"/>
      <c r="F2" s="179"/>
      <c r="G2" s="179"/>
      <c r="H2" s="179"/>
      <c r="I2" s="179"/>
      <c r="J2" s="179"/>
      <c r="K2" s="180" t="s">
        <v>234</v>
      </c>
    </row>
    <row r="3" spans="1:11" s="177" customFormat="1">
      <c r="A3" s="646" t="s">
        <v>904</v>
      </c>
      <c r="B3" s="179"/>
      <c r="C3" s="179"/>
      <c r="D3" s="179"/>
      <c r="E3" s="179"/>
      <c r="F3" s="179"/>
      <c r="G3" s="179"/>
      <c r="H3" s="179"/>
      <c r="I3" s="179"/>
      <c r="J3" s="179"/>
      <c r="K3" s="179"/>
    </row>
    <row r="4" spans="1:11" s="177" customFormat="1">
      <c r="A4" s="247" t="s">
        <v>232</v>
      </c>
      <c r="B4" s="179"/>
      <c r="C4" s="179"/>
      <c r="D4" s="179"/>
      <c r="E4" s="179"/>
      <c r="F4" s="179"/>
      <c r="G4" s="179"/>
      <c r="H4" s="179"/>
      <c r="I4" s="179"/>
      <c r="J4" s="179"/>
      <c r="K4" s="179"/>
    </row>
    <row r="5" spans="1:11" s="177" customFormat="1">
      <c r="A5" s="247"/>
      <c r="B5" s="179"/>
      <c r="C5" s="179"/>
      <c r="D5" s="179"/>
      <c r="E5" s="179"/>
      <c r="F5" s="179"/>
      <c r="G5" s="179"/>
      <c r="H5" s="179"/>
      <c r="I5" s="179"/>
      <c r="J5" s="179"/>
      <c r="K5" s="179"/>
    </row>
    <row r="6" spans="1:11" s="177" customFormat="1">
      <c r="A6" s="182" t="s">
        <v>228</v>
      </c>
      <c r="B6" s="182" t="s">
        <v>227</v>
      </c>
      <c r="C6" s="182" t="s">
        <v>226</v>
      </c>
      <c r="D6" s="182"/>
      <c r="E6" s="183" t="s">
        <v>225</v>
      </c>
      <c r="F6" s="183"/>
      <c r="G6" s="182" t="s">
        <v>224</v>
      </c>
      <c r="H6" s="1381" t="s">
        <v>223</v>
      </c>
      <c r="I6" s="1381"/>
      <c r="J6" s="182" t="s">
        <v>222</v>
      </c>
      <c r="K6" s="182" t="s">
        <v>221</v>
      </c>
    </row>
    <row r="7" spans="1:11" s="186" customFormat="1">
      <c r="A7" s="1382" t="s">
        <v>220</v>
      </c>
      <c r="B7" s="1379" t="s">
        <v>219</v>
      </c>
      <c r="C7" s="1379" t="s">
        <v>218</v>
      </c>
      <c r="D7" s="1379" t="s">
        <v>217</v>
      </c>
      <c r="E7" s="1379" t="s">
        <v>216</v>
      </c>
      <c r="F7" s="1379"/>
      <c r="G7" s="1379" t="s">
        <v>215</v>
      </c>
      <c r="H7" s="1379" t="s">
        <v>214</v>
      </c>
      <c r="I7" s="1379"/>
      <c r="J7" s="1379" t="s">
        <v>240</v>
      </c>
      <c r="K7" s="1380" t="s">
        <v>212</v>
      </c>
    </row>
    <row r="8" spans="1:11" s="186" customFormat="1" ht="25.5">
      <c r="A8" s="1382"/>
      <c r="B8" s="1379"/>
      <c r="C8" s="1379"/>
      <c r="D8" s="1379"/>
      <c r="E8" s="187" t="s">
        <v>211</v>
      </c>
      <c r="F8" s="187" t="s">
        <v>210</v>
      </c>
      <c r="G8" s="1379"/>
      <c r="H8" s="187" t="s">
        <v>211</v>
      </c>
      <c r="I8" s="187" t="s">
        <v>210</v>
      </c>
      <c r="J8" s="1379"/>
      <c r="K8" s="1380"/>
    </row>
    <row r="9" spans="1:11" ht="15.95" customHeight="1">
      <c r="A9" s="188" t="s">
        <v>208</v>
      </c>
      <c r="B9" s="189"/>
      <c r="C9" s="189"/>
      <c r="D9" s="189"/>
      <c r="E9" s="189"/>
      <c r="F9" s="189"/>
      <c r="G9" s="189"/>
      <c r="H9" s="189"/>
      <c r="I9" s="189"/>
      <c r="J9" s="189"/>
      <c r="K9" s="190">
        <f>SUM(K10)</f>
        <v>0</v>
      </c>
    </row>
    <row r="10" spans="1:11" ht="19.5" customHeight="1">
      <c r="A10" s="192"/>
      <c r="B10" s="193"/>
      <c r="C10" s="193"/>
      <c r="D10" s="194"/>
      <c r="E10" s="194"/>
      <c r="F10" s="194"/>
      <c r="G10" s="193"/>
      <c r="H10" s="193"/>
      <c r="I10" s="193"/>
      <c r="J10" s="193"/>
      <c r="K10" s="195"/>
    </row>
    <row r="11" spans="1:11" ht="15.95" customHeight="1">
      <c r="A11" s="188" t="s">
        <v>207</v>
      </c>
      <c r="B11" s="189"/>
      <c r="C11" s="189"/>
      <c r="D11" s="196"/>
      <c r="E11" s="196"/>
      <c r="F11" s="196"/>
      <c r="G11" s="189"/>
      <c r="H11" s="189"/>
      <c r="I11" s="189"/>
      <c r="J11" s="189"/>
      <c r="K11" s="190">
        <f>K12+K20+K68+K69+K73+K88+K93</f>
        <v>13194349.67</v>
      </c>
    </row>
    <row r="12" spans="1:11" ht="15.95" customHeight="1">
      <c r="A12" s="1430" t="s">
        <v>256</v>
      </c>
      <c r="B12" s="647" t="s">
        <v>905</v>
      </c>
      <c r="C12" s="1433"/>
      <c r="D12" s="1436" t="s">
        <v>906</v>
      </c>
      <c r="E12" s="648">
        <v>650</v>
      </c>
      <c r="F12" s="194"/>
      <c r="G12" s="649"/>
      <c r="H12" s="193"/>
      <c r="I12" s="193"/>
      <c r="J12" s="1398" t="s">
        <v>907</v>
      </c>
      <c r="K12" s="1440">
        <f>3631448.01</f>
        <v>3631448.01</v>
      </c>
    </row>
    <row r="13" spans="1:11" ht="15.95" customHeight="1">
      <c r="A13" s="1431"/>
      <c r="B13" s="647" t="s">
        <v>908</v>
      </c>
      <c r="C13" s="1434"/>
      <c r="D13" s="1437"/>
      <c r="E13" s="648">
        <v>605</v>
      </c>
      <c r="F13" s="194"/>
      <c r="G13" s="649"/>
      <c r="H13" s="193"/>
      <c r="I13" s="193"/>
      <c r="J13" s="1439"/>
      <c r="K13" s="1441"/>
    </row>
    <row r="14" spans="1:11" ht="15.95" customHeight="1">
      <c r="A14" s="1431"/>
      <c r="B14" s="647" t="s">
        <v>909</v>
      </c>
      <c r="C14" s="1434"/>
      <c r="D14" s="1437"/>
      <c r="E14" s="648">
        <v>560</v>
      </c>
      <c r="F14" s="194"/>
      <c r="G14" s="649"/>
      <c r="H14" s="193"/>
      <c r="I14" s="193"/>
      <c r="J14" s="1439"/>
      <c r="K14" s="1441"/>
    </row>
    <row r="15" spans="1:11" ht="15.95" customHeight="1">
      <c r="A15" s="1431"/>
      <c r="B15" s="647" t="s">
        <v>910</v>
      </c>
      <c r="C15" s="1434"/>
      <c r="D15" s="1437"/>
      <c r="E15" s="648">
        <v>560</v>
      </c>
      <c r="F15" s="194"/>
      <c r="G15" s="649"/>
      <c r="H15" s="193"/>
      <c r="I15" s="193"/>
      <c r="J15" s="1439"/>
      <c r="K15" s="1441"/>
    </row>
    <row r="16" spans="1:11" ht="15.95" customHeight="1">
      <c r="A16" s="1431"/>
      <c r="B16" s="647" t="s">
        <v>911</v>
      </c>
      <c r="C16" s="1434"/>
      <c r="D16" s="1437"/>
      <c r="E16" s="648">
        <v>520</v>
      </c>
      <c r="F16" s="194"/>
      <c r="G16" s="649"/>
      <c r="H16" s="193"/>
      <c r="I16" s="193"/>
      <c r="J16" s="1439"/>
      <c r="K16" s="1441"/>
    </row>
    <row r="17" spans="1:11" ht="15.95" customHeight="1">
      <c r="A17" s="1431"/>
      <c r="B17" s="647" t="s">
        <v>912</v>
      </c>
      <c r="C17" s="1434"/>
      <c r="D17" s="1437"/>
      <c r="E17" s="648">
        <v>450</v>
      </c>
      <c r="F17" s="194"/>
      <c r="G17" s="649"/>
      <c r="H17" s="193"/>
      <c r="I17" s="193"/>
      <c r="J17" s="1439"/>
      <c r="K17" s="1441"/>
    </row>
    <row r="18" spans="1:11" ht="15.95" customHeight="1">
      <c r="A18" s="1431"/>
      <c r="B18" s="647" t="s">
        <v>913</v>
      </c>
      <c r="C18" s="1434"/>
      <c r="D18" s="1438"/>
      <c r="E18" s="648">
        <v>410</v>
      </c>
      <c r="F18" s="194"/>
      <c r="G18" s="649"/>
      <c r="H18" s="193"/>
      <c r="I18" s="193"/>
      <c r="J18" s="1439"/>
      <c r="K18" s="1442"/>
    </row>
    <row r="19" spans="1:11" ht="15.95" customHeight="1">
      <c r="A19" s="1432"/>
      <c r="B19" s="647" t="s">
        <v>914</v>
      </c>
      <c r="C19" s="1434"/>
      <c r="D19" s="653" t="s">
        <v>915</v>
      </c>
      <c r="E19" s="654"/>
      <c r="F19" s="194"/>
      <c r="G19" s="649"/>
      <c r="H19" s="193"/>
      <c r="I19" s="193"/>
      <c r="J19" s="1439"/>
      <c r="K19" s="195"/>
    </row>
    <row r="20" spans="1:11" ht="15.95" customHeight="1">
      <c r="A20" s="655" t="s">
        <v>916</v>
      </c>
      <c r="B20" s="656" t="s">
        <v>917</v>
      </c>
      <c r="C20" s="1434"/>
      <c r="D20" s="657"/>
      <c r="E20" s="654">
        <v>1080</v>
      </c>
      <c r="F20" s="194"/>
      <c r="G20" s="649"/>
      <c r="H20" s="658"/>
      <c r="I20" s="193"/>
      <c r="J20" s="1439"/>
      <c r="K20" s="1440">
        <f>5183484.42</f>
        <v>5183484.42</v>
      </c>
    </row>
    <row r="21" spans="1:11" ht="15.95" customHeight="1">
      <c r="A21" s="659" t="s">
        <v>918</v>
      </c>
      <c r="B21" s="660"/>
      <c r="C21" s="1434"/>
      <c r="D21" s="657">
        <v>1.4999999999999999E-2</v>
      </c>
      <c r="E21" s="654">
        <v>900</v>
      </c>
      <c r="F21" s="194"/>
      <c r="G21" s="661"/>
      <c r="H21" s="658"/>
      <c r="I21" s="193"/>
      <c r="J21" s="1439"/>
      <c r="K21" s="1441"/>
    </row>
    <row r="22" spans="1:11" ht="15.95" customHeight="1">
      <c r="A22" s="659" t="s">
        <v>919</v>
      </c>
      <c r="B22" s="660"/>
      <c r="C22" s="1434"/>
      <c r="D22" s="657">
        <v>1.4999999999999999E-2</v>
      </c>
      <c r="E22" s="654">
        <v>900</v>
      </c>
      <c r="F22" s="194"/>
      <c r="G22" s="661"/>
      <c r="H22" s="658"/>
      <c r="I22" s="193"/>
      <c r="J22" s="1439"/>
      <c r="K22" s="1441"/>
    </row>
    <row r="23" spans="1:11" ht="15.95" customHeight="1">
      <c r="A23" s="659" t="s">
        <v>920</v>
      </c>
      <c r="B23" s="660"/>
      <c r="C23" s="1434"/>
      <c r="D23" s="657">
        <v>1.4999999999999999E-2</v>
      </c>
      <c r="E23" s="654">
        <v>900</v>
      </c>
      <c r="F23" s="194"/>
      <c r="G23" s="661"/>
      <c r="H23" s="658"/>
      <c r="I23" s="193"/>
      <c r="J23" s="1439"/>
      <c r="K23" s="1441"/>
    </row>
    <row r="24" spans="1:11" ht="15.95" customHeight="1">
      <c r="A24" s="659" t="s">
        <v>921</v>
      </c>
      <c r="B24" s="660"/>
      <c r="C24" s="1434"/>
      <c r="D24" s="657">
        <v>1.4999999999999999E-2</v>
      </c>
      <c r="E24" s="654">
        <v>900</v>
      </c>
      <c r="F24" s="194"/>
      <c r="G24" s="661"/>
      <c r="H24" s="658"/>
      <c r="I24" s="193"/>
      <c r="J24" s="1439"/>
      <c r="K24" s="1441"/>
    </row>
    <row r="25" spans="1:11" ht="15.95" customHeight="1">
      <c r="A25" s="659" t="s">
        <v>922</v>
      </c>
      <c r="B25" s="660"/>
      <c r="C25" s="1434"/>
      <c r="D25" s="657">
        <v>1.4999999999999999E-2</v>
      </c>
      <c r="E25" s="654">
        <v>900</v>
      </c>
      <c r="F25" s="194"/>
      <c r="G25" s="661"/>
      <c r="H25" s="658"/>
      <c r="I25" s="193"/>
      <c r="J25" s="1439"/>
      <c r="K25" s="1441"/>
    </row>
    <row r="26" spans="1:11" ht="15.95" customHeight="1">
      <c r="A26" s="659" t="s">
        <v>923</v>
      </c>
      <c r="B26" s="660"/>
      <c r="C26" s="1434"/>
      <c r="D26" s="657">
        <v>1.4999999999999999E-2</v>
      </c>
      <c r="E26" s="654">
        <v>900</v>
      </c>
      <c r="F26" s="194"/>
      <c r="G26" s="661"/>
      <c r="H26" s="658"/>
      <c r="I26" s="193"/>
      <c r="J26" s="1439"/>
      <c r="K26" s="1441"/>
    </row>
    <row r="27" spans="1:11" ht="15.95" customHeight="1">
      <c r="A27" s="659" t="s">
        <v>924</v>
      </c>
      <c r="B27" s="660"/>
      <c r="C27" s="1434"/>
      <c r="D27" s="657">
        <v>1.4999999999999999E-2</v>
      </c>
      <c r="E27" s="654">
        <v>1700</v>
      </c>
      <c r="F27" s="194"/>
      <c r="G27" s="661"/>
      <c r="H27" s="658"/>
      <c r="I27" s="193"/>
      <c r="J27" s="1439"/>
      <c r="K27" s="1441"/>
    </row>
    <row r="28" spans="1:11" ht="15.95" customHeight="1">
      <c r="A28" s="659" t="s">
        <v>925</v>
      </c>
      <c r="B28" s="660"/>
      <c r="C28" s="1434"/>
      <c r="D28" s="657">
        <v>1.4999999999999999E-2</v>
      </c>
      <c r="E28" s="654">
        <v>1300</v>
      </c>
      <c r="F28" s="194"/>
      <c r="G28" s="661"/>
      <c r="H28" s="658"/>
      <c r="I28" s="193"/>
      <c r="J28" s="1439"/>
      <c r="K28" s="1441"/>
    </row>
    <row r="29" spans="1:11" ht="15.95" customHeight="1">
      <c r="A29" s="659" t="s">
        <v>926</v>
      </c>
      <c r="B29" s="660"/>
      <c r="C29" s="1434"/>
      <c r="D29" s="657">
        <v>1.4999999999999999E-2</v>
      </c>
      <c r="E29" s="654">
        <v>1050</v>
      </c>
      <c r="F29" s="194"/>
      <c r="G29" s="661"/>
      <c r="H29" s="658"/>
      <c r="I29" s="193"/>
      <c r="J29" s="1439"/>
      <c r="K29" s="1441"/>
    </row>
    <row r="30" spans="1:11" ht="15.95" customHeight="1">
      <c r="A30" s="659" t="s">
        <v>927</v>
      </c>
      <c r="B30" s="660"/>
      <c r="C30" s="1434"/>
      <c r="D30" s="657">
        <v>1.4999999999999999E-2</v>
      </c>
      <c r="E30" s="654">
        <v>1050</v>
      </c>
      <c r="F30" s="194"/>
      <c r="G30" s="661"/>
      <c r="H30" s="658"/>
      <c r="I30" s="193"/>
      <c r="J30" s="1439"/>
      <c r="K30" s="1441"/>
    </row>
    <row r="31" spans="1:11" ht="15.95" customHeight="1">
      <c r="A31" s="659" t="s">
        <v>928</v>
      </c>
      <c r="B31" s="660"/>
      <c r="C31" s="1434"/>
      <c r="D31" s="657">
        <v>1.4999999999999999E-2</v>
      </c>
      <c r="E31" s="654">
        <v>1300</v>
      </c>
      <c r="F31" s="194"/>
      <c r="G31" s="661"/>
      <c r="H31" s="658"/>
      <c r="I31" s="193"/>
      <c r="J31" s="1439"/>
      <c r="K31" s="1441"/>
    </row>
    <row r="32" spans="1:11" ht="15.95" customHeight="1">
      <c r="A32" s="659" t="s">
        <v>929</v>
      </c>
      <c r="B32" s="660"/>
      <c r="C32" s="1434"/>
      <c r="D32" s="657">
        <v>1.4999999999999999E-2</v>
      </c>
      <c r="E32" s="654">
        <v>1050</v>
      </c>
      <c r="F32" s="194"/>
      <c r="G32" s="661"/>
      <c r="H32" s="658"/>
      <c r="I32" s="193"/>
      <c r="J32" s="1439"/>
      <c r="K32" s="1441"/>
    </row>
    <row r="33" spans="1:11" ht="15.95" customHeight="1">
      <c r="A33" s="659" t="s">
        <v>930</v>
      </c>
      <c r="B33" s="660"/>
      <c r="C33" s="1434"/>
      <c r="D33" s="657">
        <v>1.4999999999999999E-2</v>
      </c>
      <c r="E33" s="654">
        <v>1050</v>
      </c>
      <c r="F33" s="194"/>
      <c r="G33" s="661"/>
      <c r="H33" s="658"/>
      <c r="I33" s="193"/>
      <c r="J33" s="1439"/>
      <c r="K33" s="1441"/>
    </row>
    <row r="34" spans="1:11" ht="15.95" customHeight="1">
      <c r="A34" s="659" t="s">
        <v>931</v>
      </c>
      <c r="B34" s="660"/>
      <c r="C34" s="1434"/>
      <c r="D34" s="662">
        <v>1.4999999999999999E-2</v>
      </c>
      <c r="E34" s="654">
        <v>1300</v>
      </c>
      <c r="F34" s="194"/>
      <c r="G34" s="661"/>
      <c r="H34" s="658"/>
      <c r="I34" s="193"/>
      <c r="J34" s="1439"/>
      <c r="K34" s="1441"/>
    </row>
    <row r="35" spans="1:11" ht="15.95" customHeight="1">
      <c r="A35" s="659" t="s">
        <v>932</v>
      </c>
      <c r="B35" s="660"/>
      <c r="C35" s="1434"/>
      <c r="D35" s="662">
        <v>1.4999999999999999E-2</v>
      </c>
      <c r="E35" s="654">
        <v>1050</v>
      </c>
      <c r="F35" s="194"/>
      <c r="G35" s="661"/>
      <c r="H35" s="658"/>
      <c r="I35" s="193"/>
      <c r="J35" s="1439"/>
      <c r="K35" s="1441"/>
    </row>
    <row r="36" spans="1:11" ht="15.95" customHeight="1">
      <c r="A36" s="659" t="s">
        <v>933</v>
      </c>
      <c r="B36" s="660"/>
      <c r="C36" s="1434"/>
      <c r="D36" s="657">
        <v>1.4999999999999999E-2</v>
      </c>
      <c r="E36" s="654">
        <v>900</v>
      </c>
      <c r="F36" s="194"/>
      <c r="G36" s="661"/>
      <c r="H36" s="658"/>
      <c r="I36" s="193"/>
      <c r="J36" s="1439"/>
      <c r="K36" s="1441"/>
    </row>
    <row r="37" spans="1:11" ht="15.95" customHeight="1">
      <c r="A37" s="659" t="s">
        <v>934</v>
      </c>
      <c r="B37" s="660"/>
      <c r="C37" s="1434"/>
      <c r="D37" s="657">
        <v>1.4999999999999999E-2</v>
      </c>
      <c r="E37" s="654">
        <v>1300</v>
      </c>
      <c r="F37" s="194"/>
      <c r="G37" s="661"/>
      <c r="H37" s="658"/>
      <c r="I37" s="193"/>
      <c r="J37" s="1439"/>
      <c r="K37" s="1441"/>
    </row>
    <row r="38" spans="1:11" ht="15.95" customHeight="1">
      <c r="A38" s="659" t="s">
        <v>935</v>
      </c>
      <c r="B38" s="660"/>
      <c r="C38" s="1434"/>
      <c r="D38" s="657">
        <v>1.4999999999999999E-2</v>
      </c>
      <c r="E38" s="654">
        <v>1000</v>
      </c>
      <c r="F38" s="194"/>
      <c r="G38" s="661"/>
      <c r="H38" s="658"/>
      <c r="I38" s="193"/>
      <c r="J38" s="1439"/>
      <c r="K38" s="1441"/>
    </row>
    <row r="39" spans="1:11" ht="15.95" customHeight="1">
      <c r="A39" s="659" t="s">
        <v>936</v>
      </c>
      <c r="B39" s="660"/>
      <c r="C39" s="1434"/>
      <c r="D39" s="657">
        <v>1.4999999999999999E-2</v>
      </c>
      <c r="E39" s="654">
        <v>1700</v>
      </c>
      <c r="F39" s="194"/>
      <c r="G39" s="661"/>
      <c r="H39" s="658"/>
      <c r="I39" s="193"/>
      <c r="J39" s="1439"/>
      <c r="K39" s="1441"/>
    </row>
    <row r="40" spans="1:11" ht="15.95" customHeight="1">
      <c r="A40" s="659" t="s">
        <v>937</v>
      </c>
      <c r="B40" s="660"/>
      <c r="C40" s="1434"/>
      <c r="D40" s="657">
        <v>1.4999999999999999E-2</v>
      </c>
      <c r="E40" s="654">
        <v>1300</v>
      </c>
      <c r="F40" s="194"/>
      <c r="G40" s="661"/>
      <c r="H40" s="658"/>
      <c r="I40" s="193"/>
      <c r="J40" s="1439"/>
      <c r="K40" s="1441"/>
    </row>
    <row r="41" spans="1:11" ht="15.6" customHeight="1">
      <c r="A41" s="659" t="s">
        <v>938</v>
      </c>
      <c r="B41" s="660"/>
      <c r="C41" s="1434"/>
      <c r="D41" s="657">
        <v>1.4999999999999999E-2</v>
      </c>
      <c r="E41" s="654">
        <v>1050</v>
      </c>
      <c r="F41" s="194"/>
      <c r="G41" s="661"/>
      <c r="H41" s="658"/>
      <c r="I41" s="193"/>
      <c r="J41" s="1439"/>
      <c r="K41" s="1441"/>
    </row>
    <row r="42" spans="1:11" ht="15.6" customHeight="1">
      <c r="A42" s="659" t="s">
        <v>939</v>
      </c>
      <c r="B42" s="660"/>
      <c r="C42" s="1434"/>
      <c r="D42" s="657">
        <v>2.5000000000000001E-2</v>
      </c>
      <c r="E42" s="654">
        <v>1000</v>
      </c>
      <c r="F42" s="194"/>
      <c r="G42" s="661"/>
      <c r="H42" s="658"/>
      <c r="I42" s="193"/>
      <c r="J42" s="1439"/>
      <c r="K42" s="1441"/>
    </row>
    <row r="43" spans="1:11" ht="15.6" customHeight="1">
      <c r="A43" s="659" t="s">
        <v>940</v>
      </c>
      <c r="B43" s="660"/>
      <c r="C43" s="1434"/>
      <c r="D43" s="657">
        <v>0.03</v>
      </c>
      <c r="E43" s="654">
        <v>4550</v>
      </c>
      <c r="F43" s="194"/>
      <c r="G43" s="661"/>
      <c r="H43" s="658"/>
      <c r="I43" s="193"/>
      <c r="J43" s="1439"/>
      <c r="K43" s="1441"/>
    </row>
    <row r="44" spans="1:11" ht="15.6" customHeight="1">
      <c r="A44" s="659" t="s">
        <v>941</v>
      </c>
      <c r="B44" s="660"/>
      <c r="C44" s="1434"/>
      <c r="D44" s="657">
        <v>0.03</v>
      </c>
      <c r="E44" s="654">
        <v>13000</v>
      </c>
      <c r="F44" s="194"/>
      <c r="G44" s="661"/>
      <c r="H44" s="658"/>
      <c r="I44" s="193"/>
      <c r="J44" s="1439"/>
      <c r="K44" s="1441"/>
    </row>
    <row r="45" spans="1:11" ht="15.6" customHeight="1">
      <c r="A45" s="659" t="s">
        <v>942</v>
      </c>
      <c r="B45" s="660"/>
      <c r="C45" s="1434"/>
      <c r="D45" s="657">
        <v>0.03</v>
      </c>
      <c r="E45" s="654">
        <v>2100</v>
      </c>
      <c r="F45" s="194"/>
      <c r="G45" s="661"/>
      <c r="H45" s="658"/>
      <c r="I45" s="193"/>
      <c r="J45" s="1439"/>
      <c r="K45" s="1441"/>
    </row>
    <row r="46" spans="1:11" ht="15.6" customHeight="1">
      <c r="A46" s="1443" t="s">
        <v>943</v>
      </c>
      <c r="B46" s="660"/>
      <c r="C46" s="1434"/>
      <c r="D46" s="657"/>
      <c r="E46" s="663"/>
      <c r="F46" s="194"/>
      <c r="G46" s="661"/>
      <c r="H46" s="658"/>
      <c r="I46" s="193"/>
      <c r="J46" s="1439"/>
      <c r="K46" s="1441"/>
    </row>
    <row r="47" spans="1:11" ht="15.6" customHeight="1">
      <c r="A47" s="1444"/>
      <c r="B47" s="660"/>
      <c r="C47" s="1434"/>
      <c r="D47" s="657">
        <v>0.03</v>
      </c>
      <c r="E47" s="654">
        <v>1300</v>
      </c>
      <c r="F47" s="194"/>
      <c r="G47" s="661"/>
      <c r="H47" s="658"/>
      <c r="I47" s="193"/>
      <c r="J47" s="1439"/>
      <c r="K47" s="1441"/>
    </row>
    <row r="48" spans="1:11" ht="16.149999999999999" customHeight="1">
      <c r="A48" s="1445"/>
      <c r="B48" s="660"/>
      <c r="C48" s="1434"/>
      <c r="D48" s="657">
        <v>0.03</v>
      </c>
      <c r="E48" s="654">
        <v>3250</v>
      </c>
      <c r="F48" s="194"/>
      <c r="G48" s="661"/>
      <c r="H48" s="658"/>
      <c r="I48" s="193"/>
      <c r="J48" s="1439"/>
      <c r="K48" s="1441"/>
    </row>
    <row r="49" spans="1:11" ht="15.95" customHeight="1">
      <c r="A49" s="659" t="s">
        <v>944</v>
      </c>
      <c r="B49" s="660"/>
      <c r="C49" s="1434"/>
      <c r="D49" s="657">
        <v>0.03</v>
      </c>
      <c r="E49" s="654">
        <v>1300</v>
      </c>
      <c r="F49" s="194"/>
      <c r="G49" s="661"/>
      <c r="H49" s="658"/>
      <c r="I49" s="193"/>
      <c r="J49" s="1439"/>
      <c r="K49" s="1441"/>
    </row>
    <row r="50" spans="1:11" ht="15.95" customHeight="1">
      <c r="A50" s="659" t="s">
        <v>945</v>
      </c>
      <c r="B50" s="660"/>
      <c r="C50" s="1434"/>
      <c r="D50" s="657">
        <v>0.03</v>
      </c>
      <c r="E50" s="654">
        <v>1700</v>
      </c>
      <c r="F50" s="194"/>
      <c r="G50" s="661"/>
      <c r="H50" s="658"/>
      <c r="I50" s="193"/>
      <c r="J50" s="1439"/>
      <c r="K50" s="1441"/>
    </row>
    <row r="51" spans="1:11" ht="15.95" customHeight="1">
      <c r="A51" s="659" t="s">
        <v>946</v>
      </c>
      <c r="B51" s="660"/>
      <c r="C51" s="1434"/>
      <c r="D51" s="657">
        <v>0.08</v>
      </c>
      <c r="E51" s="654">
        <v>2600</v>
      </c>
      <c r="F51" s="194"/>
      <c r="G51" s="661"/>
      <c r="H51" s="658"/>
      <c r="I51" s="193"/>
      <c r="J51" s="1439"/>
      <c r="K51" s="1441"/>
    </row>
    <row r="52" spans="1:11" ht="15.95" customHeight="1">
      <c r="A52" s="659" t="s">
        <v>947</v>
      </c>
      <c r="B52" s="660"/>
      <c r="C52" s="1434"/>
      <c r="D52" s="657">
        <v>1.4999999999999999E-2</v>
      </c>
      <c r="E52" s="654">
        <v>1500</v>
      </c>
      <c r="F52" s="194"/>
      <c r="G52" s="661"/>
      <c r="H52" s="658"/>
      <c r="I52" s="193"/>
      <c r="J52" s="1439"/>
      <c r="K52" s="1441"/>
    </row>
    <row r="53" spans="1:11" ht="15.95" customHeight="1">
      <c r="A53" s="659" t="s">
        <v>948</v>
      </c>
      <c r="B53" s="660"/>
      <c r="C53" s="1434"/>
      <c r="D53" s="1446" t="s">
        <v>949</v>
      </c>
      <c r="E53" s="1447"/>
      <c r="F53" s="194"/>
      <c r="G53" s="649"/>
      <c r="H53" s="658"/>
      <c r="I53" s="193"/>
      <c r="J53" s="1439"/>
      <c r="K53" s="1441"/>
    </row>
    <row r="54" spans="1:11" ht="15.95" customHeight="1">
      <c r="A54" s="659" t="s">
        <v>950</v>
      </c>
      <c r="B54" s="660"/>
      <c r="C54" s="1434"/>
      <c r="D54" s="657">
        <v>0.03</v>
      </c>
      <c r="E54" s="654">
        <v>3900</v>
      </c>
      <c r="F54" s="194"/>
      <c r="G54" s="661"/>
      <c r="H54" s="658"/>
      <c r="I54" s="193"/>
      <c r="J54" s="664"/>
      <c r="K54" s="1441"/>
    </row>
    <row r="55" spans="1:11" ht="15.95" customHeight="1">
      <c r="A55" s="659" t="s">
        <v>951</v>
      </c>
      <c r="B55" s="665"/>
      <c r="C55" s="1434"/>
      <c r="D55" s="666">
        <v>8.6956000000000006E-2</v>
      </c>
      <c r="E55" s="663"/>
      <c r="F55" s="194"/>
      <c r="G55" s="649"/>
      <c r="H55" s="658"/>
      <c r="I55" s="193"/>
      <c r="J55" s="1398"/>
      <c r="K55" s="1441"/>
    </row>
    <row r="56" spans="1:11" ht="15.95" customHeight="1">
      <c r="A56" s="659" t="s">
        <v>952</v>
      </c>
      <c r="B56" s="665"/>
      <c r="C56" s="1434"/>
      <c r="D56" s="657">
        <v>1.4999999999999999E-2</v>
      </c>
      <c r="E56" s="654">
        <v>1300</v>
      </c>
      <c r="F56" s="194"/>
      <c r="G56" s="649"/>
      <c r="H56" s="658"/>
      <c r="I56" s="193"/>
      <c r="J56" s="1439"/>
      <c r="K56" s="1441"/>
    </row>
    <row r="57" spans="1:11" ht="15.95" customHeight="1">
      <c r="A57" s="659" t="s">
        <v>953</v>
      </c>
      <c r="B57" s="665"/>
      <c r="C57" s="1434"/>
      <c r="D57" s="657">
        <v>1.4999999999999999E-2</v>
      </c>
      <c r="E57" s="654">
        <v>900</v>
      </c>
      <c r="F57" s="194"/>
      <c r="G57" s="649"/>
      <c r="H57" s="658"/>
      <c r="I57" s="193"/>
      <c r="J57" s="1439"/>
      <c r="K57" s="1441"/>
    </row>
    <row r="58" spans="1:11" ht="15.95" customHeight="1">
      <c r="A58" s="659" t="s">
        <v>954</v>
      </c>
      <c r="B58" s="665"/>
      <c r="C58" s="1434"/>
      <c r="D58" s="657">
        <v>1.4999999999999999E-2</v>
      </c>
      <c r="E58" s="654">
        <v>900</v>
      </c>
      <c r="F58" s="194"/>
      <c r="G58" s="649"/>
      <c r="H58" s="658"/>
      <c r="I58" s="193"/>
      <c r="J58" s="1439"/>
      <c r="K58" s="1441"/>
    </row>
    <row r="59" spans="1:11" ht="15.95" customHeight="1">
      <c r="A59" s="659" t="s">
        <v>955</v>
      </c>
      <c r="B59" s="665"/>
      <c r="C59" s="1434"/>
      <c r="D59" s="657">
        <v>1.4999999999999999E-2</v>
      </c>
      <c r="E59" s="654">
        <v>900</v>
      </c>
      <c r="F59" s="194"/>
      <c r="G59" s="649"/>
      <c r="H59" s="658"/>
      <c r="I59" s="193"/>
      <c r="J59" s="1439"/>
      <c r="K59" s="1441"/>
    </row>
    <row r="60" spans="1:11" ht="15.95" customHeight="1">
      <c r="A60" s="659" t="s">
        <v>956</v>
      </c>
      <c r="B60" s="665"/>
      <c r="C60" s="1434"/>
      <c r="D60" s="657">
        <v>1.4999999999999999E-2</v>
      </c>
      <c r="E60" s="654">
        <v>1200</v>
      </c>
      <c r="F60" s="194"/>
      <c r="G60" s="649"/>
      <c r="H60" s="658"/>
      <c r="I60" s="193"/>
      <c r="J60" s="1439"/>
      <c r="K60" s="1441"/>
    </row>
    <row r="61" spans="1:11" ht="15.95" customHeight="1">
      <c r="A61" s="659" t="s">
        <v>957</v>
      </c>
      <c r="B61" s="665"/>
      <c r="C61" s="1434"/>
      <c r="D61" s="657">
        <v>0.03</v>
      </c>
      <c r="E61" s="654">
        <v>1200</v>
      </c>
      <c r="F61" s="194"/>
      <c r="G61" s="649"/>
      <c r="H61" s="658"/>
      <c r="I61" s="193"/>
      <c r="J61" s="1439"/>
      <c r="K61" s="1441"/>
    </row>
    <row r="62" spans="1:11" ht="15.95" customHeight="1">
      <c r="A62" s="659" t="s">
        <v>958</v>
      </c>
      <c r="B62" s="665"/>
      <c r="C62" s="1434"/>
      <c r="D62" s="657">
        <v>1.4999999999999999E-2</v>
      </c>
      <c r="E62" s="654">
        <v>1200</v>
      </c>
      <c r="F62" s="194"/>
      <c r="G62" s="649"/>
      <c r="H62" s="658"/>
      <c r="I62" s="193"/>
      <c r="J62" s="1439"/>
      <c r="K62" s="1441"/>
    </row>
    <row r="63" spans="1:11" ht="15.95" customHeight="1">
      <c r="A63" s="659" t="s">
        <v>959</v>
      </c>
      <c r="B63" s="665"/>
      <c r="C63" s="1434"/>
      <c r="D63" s="657">
        <v>1.4999999999999999E-2</v>
      </c>
      <c r="E63" s="654">
        <v>1200</v>
      </c>
      <c r="F63" s="194"/>
      <c r="G63" s="649"/>
      <c r="H63" s="658"/>
      <c r="I63" s="193"/>
      <c r="J63" s="1439"/>
      <c r="K63" s="1441"/>
    </row>
    <row r="64" spans="1:11" ht="15.95" customHeight="1">
      <c r="A64" s="659" t="s">
        <v>960</v>
      </c>
      <c r="B64" s="665"/>
      <c r="C64" s="1434"/>
      <c r="D64" s="657">
        <v>1.4999999999999999E-2</v>
      </c>
      <c r="E64" s="654">
        <v>1200</v>
      </c>
      <c r="F64" s="194"/>
      <c r="G64" s="649"/>
      <c r="H64" s="658"/>
      <c r="I64" s="193"/>
      <c r="J64" s="1439"/>
      <c r="K64" s="1441"/>
    </row>
    <row r="65" spans="1:11" ht="15.95" customHeight="1">
      <c r="A65" s="659" t="s">
        <v>961</v>
      </c>
      <c r="B65" s="665"/>
      <c r="C65" s="1434"/>
      <c r="D65" s="657">
        <v>1.4999999999999999E-2</v>
      </c>
      <c r="E65" s="654">
        <v>1200</v>
      </c>
      <c r="F65" s="194"/>
      <c r="G65" s="649"/>
      <c r="H65" s="658"/>
      <c r="I65" s="193"/>
      <c r="J65" s="1439"/>
      <c r="K65" s="1441"/>
    </row>
    <row r="66" spans="1:11" ht="15.95" customHeight="1">
      <c r="A66" s="659" t="s">
        <v>962</v>
      </c>
      <c r="B66" s="665"/>
      <c r="C66" s="1434"/>
      <c r="D66" s="657">
        <v>1.4999999999999999E-2</v>
      </c>
      <c r="E66" s="654">
        <v>1200</v>
      </c>
      <c r="F66" s="194"/>
      <c r="G66" s="649"/>
      <c r="H66" s="658"/>
      <c r="I66" s="193"/>
      <c r="J66" s="1439"/>
      <c r="K66" s="1441"/>
    </row>
    <row r="67" spans="1:11" ht="15.95" customHeight="1">
      <c r="A67" s="659" t="s">
        <v>963</v>
      </c>
      <c r="B67" s="665"/>
      <c r="C67" s="1434"/>
      <c r="D67" s="657">
        <v>1.4999999999999999E-2</v>
      </c>
      <c r="E67" s="654">
        <v>1200</v>
      </c>
      <c r="F67" s="194"/>
      <c r="G67" s="649"/>
      <c r="H67" s="658"/>
      <c r="I67" s="193"/>
      <c r="J67" s="1439"/>
      <c r="K67" s="1441"/>
    </row>
    <row r="68" spans="1:11" ht="21" customHeight="1">
      <c r="A68" s="667" t="s">
        <v>964</v>
      </c>
      <c r="B68" s="647" t="s">
        <v>965</v>
      </c>
      <c r="C68" s="1435"/>
      <c r="D68" s="657">
        <v>0.01</v>
      </c>
      <c r="E68" s="194"/>
      <c r="F68" s="194"/>
      <c r="G68" s="649"/>
      <c r="H68" s="193"/>
      <c r="I68" s="193"/>
      <c r="J68" s="1439"/>
      <c r="K68" s="668">
        <v>772498.45</v>
      </c>
    </row>
    <row r="69" spans="1:11" ht="15.95" customHeight="1">
      <c r="A69" s="669" t="s">
        <v>966</v>
      </c>
      <c r="B69" s="647"/>
      <c r="C69" s="670"/>
      <c r="D69" s="657"/>
      <c r="E69" s="194"/>
      <c r="F69" s="194"/>
      <c r="G69" s="649"/>
      <c r="H69" s="193"/>
      <c r="I69" s="193"/>
      <c r="J69" s="1439"/>
      <c r="K69" s="1440"/>
    </row>
    <row r="70" spans="1:11" ht="15" customHeight="1">
      <c r="A70" s="671" t="s">
        <v>967</v>
      </c>
      <c r="B70" s="1402" t="s">
        <v>968</v>
      </c>
      <c r="C70" s="670" t="s">
        <v>969</v>
      </c>
      <c r="D70" s="657"/>
      <c r="E70" s="654">
        <v>870</v>
      </c>
      <c r="F70" s="194"/>
      <c r="G70" s="661"/>
      <c r="H70" s="193"/>
      <c r="I70" s="193"/>
      <c r="J70" s="1439"/>
      <c r="K70" s="1441"/>
    </row>
    <row r="71" spans="1:11" ht="15.95" customHeight="1">
      <c r="A71" s="671" t="s">
        <v>970</v>
      </c>
      <c r="B71" s="1449"/>
      <c r="C71" s="670" t="s">
        <v>971</v>
      </c>
      <c r="D71" s="657"/>
      <c r="E71" s="654">
        <v>520</v>
      </c>
      <c r="F71" s="194"/>
      <c r="G71" s="661"/>
      <c r="H71" s="193"/>
      <c r="I71" s="193"/>
      <c r="J71" s="1439"/>
      <c r="K71" s="1441"/>
    </row>
    <row r="72" spans="1:11" ht="15.95" customHeight="1">
      <c r="A72" s="659" t="s">
        <v>972</v>
      </c>
      <c r="B72" s="1403"/>
      <c r="C72" s="670" t="s">
        <v>799</v>
      </c>
      <c r="D72" s="657"/>
      <c r="E72" s="654">
        <v>1750</v>
      </c>
      <c r="F72" s="194"/>
      <c r="G72" s="661"/>
      <c r="H72" s="193"/>
      <c r="I72" s="193"/>
      <c r="J72" s="1439"/>
      <c r="K72" s="1442"/>
    </row>
    <row r="73" spans="1:11" ht="15.95" customHeight="1">
      <c r="A73" s="673" t="s">
        <v>973</v>
      </c>
      <c r="B73" s="647"/>
      <c r="C73" s="670"/>
      <c r="D73" s="674"/>
      <c r="E73" s="194"/>
      <c r="F73" s="194"/>
      <c r="G73" s="649"/>
      <c r="H73" s="193"/>
      <c r="I73" s="193"/>
      <c r="J73" s="1439"/>
      <c r="K73" s="1440">
        <f>1121426.96</f>
        <v>1121426.96</v>
      </c>
    </row>
    <row r="74" spans="1:11" ht="15.95" customHeight="1">
      <c r="A74" s="675" t="s">
        <v>974</v>
      </c>
      <c r="B74" s="1402" t="s">
        <v>968</v>
      </c>
      <c r="C74" s="670"/>
      <c r="D74" s="674"/>
      <c r="E74" s="654">
        <v>1100</v>
      </c>
      <c r="F74" s="194"/>
      <c r="G74" s="661"/>
      <c r="H74" s="193"/>
      <c r="I74" s="193"/>
      <c r="J74" s="1439"/>
      <c r="K74" s="1441"/>
    </row>
    <row r="75" spans="1:11" ht="15.95" customHeight="1">
      <c r="A75" s="675" t="s">
        <v>975</v>
      </c>
      <c r="B75" s="1449"/>
      <c r="C75" s="670"/>
      <c r="D75" s="674"/>
      <c r="E75" s="654">
        <v>1100</v>
      </c>
      <c r="F75" s="194"/>
      <c r="G75" s="661"/>
      <c r="H75" s="193"/>
      <c r="I75" s="193"/>
      <c r="J75" s="1439"/>
      <c r="K75" s="1441"/>
    </row>
    <row r="76" spans="1:11" ht="15.95" customHeight="1">
      <c r="A76" s="676" t="s">
        <v>976</v>
      </c>
      <c r="B76" s="1449"/>
      <c r="C76" s="670"/>
      <c r="D76" s="674"/>
      <c r="E76" s="654">
        <v>2100</v>
      </c>
      <c r="F76" s="194"/>
      <c r="G76" s="661"/>
      <c r="H76" s="193"/>
      <c r="I76" s="193"/>
      <c r="J76" s="1439"/>
      <c r="K76" s="1441"/>
    </row>
    <row r="77" spans="1:11" ht="15.95" customHeight="1">
      <c r="A77" s="676" t="s">
        <v>977</v>
      </c>
      <c r="B77" s="1449"/>
      <c r="C77" s="670"/>
      <c r="D77" s="674"/>
      <c r="E77" s="654">
        <v>2100</v>
      </c>
      <c r="F77" s="194"/>
      <c r="G77" s="661"/>
      <c r="H77" s="193"/>
      <c r="I77" s="193"/>
      <c r="J77" s="1439"/>
      <c r="K77" s="1441"/>
    </row>
    <row r="78" spans="1:11" ht="15.95" customHeight="1">
      <c r="A78" s="676" t="s">
        <v>978</v>
      </c>
      <c r="B78" s="1449"/>
      <c r="C78" s="670"/>
      <c r="D78" s="674"/>
      <c r="E78" s="654">
        <v>610</v>
      </c>
      <c r="F78" s="194"/>
      <c r="G78" s="661"/>
      <c r="H78" s="193"/>
      <c r="I78" s="193"/>
      <c r="J78" s="1439"/>
      <c r="K78" s="1441"/>
    </row>
    <row r="79" spans="1:11" ht="15.95" customHeight="1">
      <c r="A79" s="676" t="s">
        <v>979</v>
      </c>
      <c r="B79" s="1403"/>
      <c r="C79" s="670"/>
      <c r="D79" s="674"/>
      <c r="E79" s="654">
        <v>3200</v>
      </c>
      <c r="F79" s="194"/>
      <c r="G79" s="661"/>
      <c r="H79" s="193"/>
      <c r="I79" s="193"/>
      <c r="J79" s="1439"/>
      <c r="K79" s="1441"/>
    </row>
    <row r="80" spans="1:11" ht="15.95" customHeight="1">
      <c r="A80" s="677" t="s">
        <v>980</v>
      </c>
      <c r="B80" s="647"/>
      <c r="C80" s="670"/>
      <c r="D80" s="674"/>
      <c r="E80" s="654"/>
      <c r="F80" s="194"/>
      <c r="G80" s="649"/>
      <c r="H80" s="193"/>
      <c r="I80" s="193"/>
      <c r="J80" s="1439"/>
      <c r="K80" s="1441"/>
    </row>
    <row r="81" spans="1:11" ht="15.95" customHeight="1">
      <c r="A81" s="676" t="s">
        <v>981</v>
      </c>
      <c r="B81" s="1402" t="s">
        <v>968</v>
      </c>
      <c r="C81" s="670"/>
      <c r="D81" s="674"/>
      <c r="E81" s="654">
        <v>7250</v>
      </c>
      <c r="F81" s="194"/>
      <c r="G81" s="661"/>
      <c r="H81" s="193"/>
      <c r="I81" s="193"/>
      <c r="J81" s="1439"/>
      <c r="K81" s="1441"/>
    </row>
    <row r="82" spans="1:11" ht="15.95" customHeight="1">
      <c r="A82" s="676" t="s">
        <v>982</v>
      </c>
      <c r="B82" s="1449"/>
      <c r="C82" s="670"/>
      <c r="D82" s="674"/>
      <c r="E82" s="654">
        <v>19500</v>
      </c>
      <c r="F82" s="194"/>
      <c r="G82" s="661"/>
      <c r="H82" s="193"/>
      <c r="I82" s="193"/>
      <c r="J82" s="1439"/>
      <c r="K82" s="1441"/>
    </row>
    <row r="83" spans="1:11" ht="15.95" customHeight="1">
      <c r="A83" s="676" t="s">
        <v>983</v>
      </c>
      <c r="B83" s="1449"/>
      <c r="C83" s="670"/>
      <c r="D83" s="674"/>
      <c r="E83" s="654">
        <v>18000</v>
      </c>
      <c r="F83" s="194"/>
      <c r="G83" s="661"/>
      <c r="H83" s="193"/>
      <c r="I83" s="193"/>
      <c r="J83" s="1439"/>
      <c r="K83" s="1441"/>
    </row>
    <row r="84" spans="1:11" ht="15.95" customHeight="1">
      <c r="A84" s="676" t="s">
        <v>984</v>
      </c>
      <c r="B84" s="1449"/>
      <c r="C84" s="670"/>
      <c r="D84" s="674"/>
      <c r="E84" s="654">
        <v>14500</v>
      </c>
      <c r="F84" s="194"/>
      <c r="G84" s="661"/>
      <c r="H84" s="193"/>
      <c r="I84" s="193"/>
      <c r="J84" s="1439"/>
      <c r="K84" s="1441"/>
    </row>
    <row r="85" spans="1:11" ht="15.95" customHeight="1">
      <c r="A85" s="676" t="s">
        <v>985</v>
      </c>
      <c r="B85" s="1403"/>
      <c r="C85" s="670"/>
      <c r="D85" s="674"/>
      <c r="E85" s="654">
        <v>4500</v>
      </c>
      <c r="F85" s="194"/>
      <c r="G85" s="661"/>
      <c r="H85" s="193"/>
      <c r="I85" s="193"/>
      <c r="J85" s="1439"/>
      <c r="K85" s="1441"/>
    </row>
    <row r="86" spans="1:11" ht="15.95" customHeight="1">
      <c r="A86" s="676" t="s">
        <v>986</v>
      </c>
      <c r="B86" s="193" t="s">
        <v>987</v>
      </c>
      <c r="C86" s="670"/>
      <c r="D86" s="674"/>
      <c r="E86" s="654">
        <v>4700</v>
      </c>
      <c r="F86" s="194"/>
      <c r="G86" s="661"/>
      <c r="H86" s="193"/>
      <c r="I86" s="193"/>
      <c r="J86" s="1439"/>
      <c r="K86" s="1441"/>
    </row>
    <row r="87" spans="1:11" ht="15.95" customHeight="1">
      <c r="A87" s="676" t="s">
        <v>988</v>
      </c>
      <c r="B87" s="193" t="s">
        <v>968</v>
      </c>
      <c r="C87" s="670" t="s">
        <v>799</v>
      </c>
      <c r="D87" s="674"/>
      <c r="E87" s="654">
        <v>1200</v>
      </c>
      <c r="F87" s="194"/>
      <c r="G87" s="661"/>
      <c r="H87" s="193"/>
      <c r="I87" s="193"/>
      <c r="J87" s="1439"/>
      <c r="K87" s="1442"/>
    </row>
    <row r="88" spans="1:11" ht="15.95" customHeight="1">
      <c r="A88" s="655" t="s">
        <v>989</v>
      </c>
      <c r="B88" s="647"/>
      <c r="C88" s="670"/>
      <c r="D88" s="674"/>
      <c r="E88" s="194"/>
      <c r="F88" s="194"/>
      <c r="G88" s="649"/>
      <c r="H88" s="193"/>
      <c r="I88" s="193"/>
      <c r="J88" s="1439"/>
      <c r="K88" s="1440">
        <f>2295491.83</f>
        <v>2295491.83</v>
      </c>
    </row>
    <row r="89" spans="1:11" ht="15.95" customHeight="1">
      <c r="A89" s="659" t="s">
        <v>990</v>
      </c>
      <c r="B89" s="1450" t="s">
        <v>991</v>
      </c>
      <c r="C89" s="670"/>
      <c r="D89" s="674">
        <v>0.18</v>
      </c>
      <c r="E89" s="194"/>
      <c r="F89" s="194"/>
      <c r="G89" s="649"/>
      <c r="H89" s="193"/>
      <c r="I89" s="193"/>
      <c r="J89" s="1439"/>
      <c r="K89" s="1441"/>
    </row>
    <row r="90" spans="1:11" ht="15.95" customHeight="1">
      <c r="A90" s="659" t="s">
        <v>992</v>
      </c>
      <c r="B90" s="1451"/>
      <c r="C90" s="670"/>
      <c r="D90" s="674">
        <v>0.14000000000000001</v>
      </c>
      <c r="E90" s="194"/>
      <c r="F90" s="194"/>
      <c r="G90" s="649"/>
      <c r="H90" s="193"/>
      <c r="I90" s="193"/>
      <c r="J90" s="1439"/>
      <c r="K90" s="1441"/>
    </row>
    <row r="91" spans="1:11" ht="15.95" customHeight="1">
      <c r="A91" s="659" t="s">
        <v>993</v>
      </c>
      <c r="B91" s="1451"/>
      <c r="C91" s="670"/>
      <c r="D91" s="674">
        <v>0.14000000000000001</v>
      </c>
      <c r="E91" s="194"/>
      <c r="F91" s="194"/>
      <c r="G91" s="649"/>
      <c r="H91" s="193"/>
      <c r="I91" s="193"/>
      <c r="J91" s="1439"/>
      <c r="K91" s="1441"/>
    </row>
    <row r="92" spans="1:11" ht="15.95" customHeight="1">
      <c r="A92" s="659" t="s">
        <v>994</v>
      </c>
      <c r="B92" s="1452"/>
      <c r="C92" s="670"/>
      <c r="D92" s="674">
        <v>0.14000000000000001</v>
      </c>
      <c r="E92" s="194"/>
      <c r="F92" s="194"/>
      <c r="G92" s="649"/>
      <c r="H92" s="193"/>
      <c r="I92" s="193"/>
      <c r="J92" s="1439"/>
      <c r="K92" s="1442"/>
    </row>
    <row r="93" spans="1:11" ht="15.95" customHeight="1">
      <c r="A93" s="229" t="s">
        <v>995</v>
      </c>
      <c r="B93" s="263"/>
      <c r="C93" s="263" t="s">
        <v>799</v>
      </c>
      <c r="D93" s="194"/>
      <c r="E93" s="654">
        <v>85500</v>
      </c>
      <c r="F93" s="194"/>
      <c r="G93" s="649"/>
      <c r="H93" s="193"/>
      <c r="I93" s="193"/>
      <c r="J93" s="1439"/>
      <c r="K93" s="195">
        <f>190000</f>
        <v>190000</v>
      </c>
    </row>
    <row r="94" spans="1:11" ht="15.95" customHeight="1">
      <c r="A94" s="188" t="s">
        <v>179</v>
      </c>
      <c r="B94" s="189"/>
      <c r="C94" s="189"/>
      <c r="D94" s="196"/>
      <c r="E94" s="196"/>
      <c r="F94" s="196"/>
      <c r="G94" s="678"/>
      <c r="H94" s="189"/>
      <c r="I94" s="189"/>
      <c r="J94" s="1439"/>
      <c r="K94" s="190">
        <f>K95+K96+K97+K98+K99+K100+K101+K102+K103+K104+K105</f>
        <v>1282664.3700000001</v>
      </c>
    </row>
    <row r="95" spans="1:11" ht="15.95" customHeight="1">
      <c r="A95" s="679" t="s">
        <v>996</v>
      </c>
      <c r="B95" s="256" t="s">
        <v>997</v>
      </c>
      <c r="C95" s="193"/>
      <c r="D95" s="194"/>
      <c r="E95" s="654"/>
      <c r="F95" s="194"/>
      <c r="G95" s="649"/>
      <c r="H95" s="193"/>
      <c r="I95" s="193"/>
      <c r="J95" s="1439"/>
      <c r="K95" s="195">
        <v>699254.37</v>
      </c>
    </row>
    <row r="96" spans="1:11" ht="15.95" customHeight="1">
      <c r="A96" s="679" t="s">
        <v>998</v>
      </c>
      <c r="B96" s="665" t="s">
        <v>968</v>
      </c>
      <c r="C96" s="193"/>
      <c r="D96" s="194"/>
      <c r="E96" s="654"/>
      <c r="F96" s="194"/>
      <c r="G96" s="649"/>
      <c r="H96" s="193"/>
      <c r="I96" s="193"/>
      <c r="J96" s="1439"/>
      <c r="K96" s="195">
        <v>13050</v>
      </c>
    </row>
    <row r="97" spans="1:11" ht="15.95" customHeight="1">
      <c r="A97" s="679" t="s">
        <v>999</v>
      </c>
      <c r="B97" s="665" t="s">
        <v>968</v>
      </c>
      <c r="C97" s="193"/>
      <c r="D97" s="194"/>
      <c r="E97" s="654"/>
      <c r="F97" s="194"/>
      <c r="G97" s="649"/>
      <c r="H97" s="193"/>
      <c r="I97" s="193"/>
      <c r="J97" s="1439"/>
      <c r="K97" s="195"/>
    </row>
    <row r="98" spans="1:11" ht="15.95" customHeight="1">
      <c r="A98" s="679" t="s">
        <v>1000</v>
      </c>
      <c r="B98" s="665" t="s">
        <v>968</v>
      </c>
      <c r="C98" s="193"/>
      <c r="D98" s="194"/>
      <c r="E98" s="654"/>
      <c r="F98" s="194"/>
      <c r="G98" s="649"/>
      <c r="H98" s="193"/>
      <c r="I98" s="193"/>
      <c r="J98" s="1439"/>
      <c r="K98" s="195">
        <v>42250</v>
      </c>
    </row>
    <row r="99" spans="1:11" ht="15.95" customHeight="1">
      <c r="A99" s="679" t="s">
        <v>279</v>
      </c>
      <c r="B99" s="665" t="s">
        <v>968</v>
      </c>
      <c r="C99" s="193"/>
      <c r="D99" s="194"/>
      <c r="E99" s="654"/>
      <c r="F99" s="194"/>
      <c r="G99" s="649"/>
      <c r="H99" s="193"/>
      <c r="I99" s="193"/>
      <c r="J99" s="1439"/>
      <c r="K99" s="195"/>
    </row>
    <row r="100" spans="1:11" ht="15.95" customHeight="1">
      <c r="A100" s="679" t="s">
        <v>1001</v>
      </c>
      <c r="B100" s="665" t="s">
        <v>968</v>
      </c>
      <c r="C100" s="193"/>
      <c r="D100" s="194"/>
      <c r="E100" s="654"/>
      <c r="F100" s="194"/>
      <c r="G100" s="649"/>
      <c r="H100" s="193"/>
      <c r="I100" s="193"/>
      <c r="J100" s="1439"/>
      <c r="K100" s="195">
        <v>402070</v>
      </c>
    </row>
    <row r="101" spans="1:11" ht="15.95" customHeight="1">
      <c r="A101" s="679" t="s">
        <v>1002</v>
      </c>
      <c r="B101" s="665" t="s">
        <v>968</v>
      </c>
      <c r="C101" s="193"/>
      <c r="D101" s="194"/>
      <c r="E101" s="654"/>
      <c r="F101" s="194"/>
      <c r="G101" s="649"/>
      <c r="H101" s="193"/>
      <c r="I101" s="193"/>
      <c r="J101" s="1439"/>
      <c r="K101" s="195">
        <v>21800</v>
      </c>
    </row>
    <row r="102" spans="1:11" ht="15.95" customHeight="1">
      <c r="A102" s="679" t="s">
        <v>1003</v>
      </c>
      <c r="B102" s="665" t="s">
        <v>968</v>
      </c>
      <c r="C102" s="193"/>
      <c r="D102" s="194"/>
      <c r="E102" s="654"/>
      <c r="F102" s="194"/>
      <c r="G102" s="649"/>
      <c r="H102" s="193"/>
      <c r="I102" s="193"/>
      <c r="J102" s="1439"/>
      <c r="K102" s="195">
        <v>3000</v>
      </c>
    </row>
    <row r="103" spans="1:11" ht="15.95" customHeight="1">
      <c r="A103" s="679" t="s">
        <v>1004</v>
      </c>
      <c r="B103" s="665" t="s">
        <v>968</v>
      </c>
      <c r="C103" s="193"/>
      <c r="D103" s="194"/>
      <c r="E103" s="654"/>
      <c r="F103" s="194"/>
      <c r="G103" s="649"/>
      <c r="H103" s="193"/>
      <c r="I103" s="193"/>
      <c r="J103" s="1439"/>
      <c r="K103" s="195">
        <v>12000</v>
      </c>
    </row>
    <row r="104" spans="1:11" ht="15.95" customHeight="1">
      <c r="A104" s="679" t="s">
        <v>1005</v>
      </c>
      <c r="B104" s="256" t="s">
        <v>997</v>
      </c>
      <c r="C104" s="193"/>
      <c r="D104" s="194"/>
      <c r="E104" s="654"/>
      <c r="F104" s="194"/>
      <c r="G104" s="649"/>
      <c r="H104" s="193"/>
      <c r="I104" s="193"/>
      <c r="J104" s="1439"/>
      <c r="K104" s="195"/>
    </row>
    <row r="105" spans="1:11" ht="15.95" customHeight="1">
      <c r="A105" s="679" t="s">
        <v>1006</v>
      </c>
      <c r="B105" s="665" t="s">
        <v>1007</v>
      </c>
      <c r="C105" s="193"/>
      <c r="D105" s="194"/>
      <c r="E105" s="654"/>
      <c r="F105" s="194"/>
      <c r="G105" s="649"/>
      <c r="H105" s="193"/>
      <c r="I105" s="193"/>
      <c r="J105" s="1439"/>
      <c r="K105" s="195">
        <v>89240</v>
      </c>
    </row>
    <row r="106" spans="1:11" ht="15.95" customHeight="1">
      <c r="A106" s="188" t="s">
        <v>152</v>
      </c>
      <c r="B106" s="189"/>
      <c r="C106" s="189"/>
      <c r="D106" s="196"/>
      <c r="E106" s="196"/>
      <c r="F106" s="196"/>
      <c r="G106" s="678"/>
      <c r="H106" s="189"/>
      <c r="I106" s="189"/>
      <c r="J106" s="1439"/>
      <c r="K106" s="190">
        <f>K107+K108</f>
        <v>1082239.6600000001</v>
      </c>
    </row>
    <row r="107" spans="1:11" ht="15.95" customHeight="1">
      <c r="A107" s="192" t="s">
        <v>1008</v>
      </c>
      <c r="B107" s="256" t="s">
        <v>968</v>
      </c>
      <c r="C107" s="193"/>
      <c r="D107" s="194"/>
      <c r="E107" s="194"/>
      <c r="F107" s="194"/>
      <c r="G107" s="649"/>
      <c r="H107" s="193"/>
      <c r="I107" s="193"/>
      <c r="J107" s="1439"/>
      <c r="K107" s="195">
        <v>444006.26</v>
      </c>
    </row>
    <row r="108" spans="1:11" ht="15.95" customHeight="1">
      <c r="A108" s="679" t="s">
        <v>1009</v>
      </c>
      <c r="B108" s="665" t="s">
        <v>1010</v>
      </c>
      <c r="C108" s="193"/>
      <c r="D108" s="194"/>
      <c r="E108" s="194"/>
      <c r="F108" s="194"/>
      <c r="G108" s="649"/>
      <c r="H108" s="193"/>
      <c r="I108" s="193"/>
      <c r="J108" s="1439"/>
      <c r="K108" s="195">
        <v>638233.4</v>
      </c>
    </row>
    <row r="109" spans="1:11" ht="15.95" customHeight="1">
      <c r="A109" s="188" t="s">
        <v>151</v>
      </c>
      <c r="B109" s="189"/>
      <c r="C109" s="189"/>
      <c r="D109" s="196"/>
      <c r="E109" s="196"/>
      <c r="F109" s="196"/>
      <c r="G109" s="678"/>
      <c r="H109" s="189"/>
      <c r="I109" s="189"/>
      <c r="J109" s="1439"/>
      <c r="K109" s="190">
        <f>K110+K111</f>
        <v>937828</v>
      </c>
    </row>
    <row r="110" spans="1:11" ht="15.95" customHeight="1">
      <c r="A110" s="192" t="s">
        <v>1011</v>
      </c>
      <c r="B110" s="193"/>
      <c r="C110" s="193"/>
      <c r="D110" s="194"/>
      <c r="E110" s="194"/>
      <c r="F110" s="194"/>
      <c r="G110" s="649"/>
      <c r="H110" s="193"/>
      <c r="I110" s="193"/>
      <c r="J110" s="1439"/>
      <c r="K110" s="195">
        <v>841777.03</v>
      </c>
    </row>
    <row r="111" spans="1:11" ht="15.95" customHeight="1">
      <c r="A111" s="192" t="s">
        <v>1012</v>
      </c>
      <c r="B111" s="193"/>
      <c r="C111" s="193"/>
      <c r="D111" s="194"/>
      <c r="E111" s="194"/>
      <c r="F111" s="194"/>
      <c r="G111" s="649"/>
      <c r="H111" s="193"/>
      <c r="I111" s="193"/>
      <c r="J111" s="1439"/>
      <c r="K111" s="195">
        <v>96050.97</v>
      </c>
    </row>
    <row r="112" spans="1:11" ht="15.95" customHeight="1">
      <c r="A112" s="188" t="s">
        <v>136</v>
      </c>
      <c r="B112" s="189"/>
      <c r="C112" s="189"/>
      <c r="D112" s="196"/>
      <c r="E112" s="196"/>
      <c r="F112" s="196"/>
      <c r="G112" s="678"/>
      <c r="H112" s="189"/>
      <c r="I112" s="189"/>
      <c r="J112" s="1439"/>
      <c r="K112" s="190">
        <f>K113</f>
        <v>719001.01</v>
      </c>
    </row>
    <row r="113" spans="1:11" ht="15.95" customHeight="1">
      <c r="A113" s="679" t="s">
        <v>1013</v>
      </c>
      <c r="B113" s="193"/>
      <c r="C113" s="193"/>
      <c r="D113" s="194"/>
      <c r="E113" s="194"/>
      <c r="F113" s="194"/>
      <c r="G113" s="649"/>
      <c r="H113" s="193"/>
      <c r="I113" s="193"/>
      <c r="J113" s="1439"/>
      <c r="K113" s="195">
        <v>719001.01</v>
      </c>
    </row>
    <row r="114" spans="1:11" ht="15.95" customHeight="1">
      <c r="A114" s="192" t="s">
        <v>1014</v>
      </c>
      <c r="B114" s="193"/>
      <c r="C114" s="193"/>
      <c r="D114" s="194"/>
      <c r="E114" s="194"/>
      <c r="F114" s="194"/>
      <c r="G114" s="649"/>
      <c r="H114" s="193"/>
      <c r="I114" s="193"/>
      <c r="J114" s="1439"/>
      <c r="K114" s="195">
        <v>841777.03</v>
      </c>
    </row>
    <row r="115" spans="1:11" ht="15.95" customHeight="1">
      <c r="A115" s="241" t="s">
        <v>108</v>
      </c>
      <c r="B115" s="242"/>
      <c r="C115" s="242"/>
      <c r="D115" s="243"/>
      <c r="E115" s="243"/>
      <c r="F115" s="243"/>
      <c r="G115" s="680"/>
      <c r="H115" s="242"/>
      <c r="I115" s="242"/>
      <c r="J115" s="242"/>
      <c r="K115" s="276">
        <f>K11+K94+K106+K109+K112</f>
        <v>17216082.710000001</v>
      </c>
    </row>
    <row r="116" spans="1:11">
      <c r="A116" s="245"/>
      <c r="B116" s="246"/>
      <c r="C116" s="246"/>
      <c r="D116" s="246"/>
      <c r="E116" s="246"/>
      <c r="F116" s="246"/>
      <c r="G116" s="246"/>
      <c r="H116" s="246"/>
      <c r="I116" s="246"/>
      <c r="J116" s="246"/>
      <c r="K116" s="246"/>
    </row>
    <row r="117" spans="1:11" ht="15.75">
      <c r="A117" s="258"/>
    </row>
    <row r="118" spans="1:11" ht="15.75">
      <c r="A118" s="259"/>
    </row>
    <row r="119" spans="1:11" ht="15.75">
      <c r="A119" s="259"/>
    </row>
    <row r="120" spans="1:11" ht="15.75">
      <c r="A120" s="258"/>
    </row>
    <row r="121" spans="1:11" ht="15" customHeight="1">
      <c r="A121" s="1448"/>
      <c r="B121" s="1448"/>
      <c r="C121" s="1448"/>
      <c r="D121" s="1448"/>
      <c r="E121" s="1448"/>
      <c r="F121" s="1448"/>
      <c r="G121" s="1448"/>
      <c r="H121" s="1448"/>
      <c r="I121" s="1448"/>
      <c r="J121" s="1448"/>
      <c r="K121" s="1448"/>
    </row>
    <row r="122" spans="1:11">
      <c r="A122" s="1448"/>
      <c r="B122" s="1448"/>
      <c r="C122" s="1448"/>
      <c r="D122" s="1448"/>
      <c r="E122" s="1448"/>
      <c r="F122" s="1448"/>
      <c r="G122" s="1448"/>
      <c r="H122" s="1448"/>
      <c r="I122" s="1448"/>
      <c r="J122" s="1448"/>
      <c r="K122" s="1448"/>
    </row>
    <row r="123" spans="1:11">
      <c r="A123" s="1448"/>
      <c r="B123" s="1448"/>
      <c r="C123" s="1448"/>
      <c r="D123" s="1448"/>
      <c r="E123" s="1448"/>
      <c r="F123" s="1448"/>
      <c r="G123" s="1448"/>
      <c r="H123" s="1448"/>
      <c r="I123" s="1448"/>
      <c r="J123" s="1448"/>
      <c r="K123" s="1448"/>
    </row>
  </sheetData>
  <mergeCells count="28">
    <mergeCell ref="A121:K123"/>
    <mergeCell ref="K69:K72"/>
    <mergeCell ref="B70:B72"/>
    <mergeCell ref="K73:K87"/>
    <mergeCell ref="B74:B79"/>
    <mergeCell ref="B81:B85"/>
    <mergeCell ref="K88:K92"/>
    <mergeCell ref="B89:B92"/>
    <mergeCell ref="A12:A19"/>
    <mergeCell ref="C12:C68"/>
    <mergeCell ref="D12:D18"/>
    <mergeCell ref="J12:J53"/>
    <mergeCell ref="K12:K18"/>
    <mergeCell ref="K20:K67"/>
    <mergeCell ref="A46:A48"/>
    <mergeCell ref="D53:E53"/>
    <mergeCell ref="J55:J114"/>
    <mergeCell ref="A1:K1"/>
    <mergeCell ref="H6:I6"/>
    <mergeCell ref="A7:A8"/>
    <mergeCell ref="B7:B8"/>
    <mergeCell ref="C7:C8"/>
    <mergeCell ref="D7:D8"/>
    <mergeCell ref="E7:F7"/>
    <mergeCell ref="G7:G8"/>
    <mergeCell ref="H7:I7"/>
    <mergeCell ref="J7:J8"/>
    <mergeCell ref="K7:K8"/>
  </mergeCells>
  <pageMargins left="0.51181102362204722" right="0.51181102362204722" top="0.74803149606299213" bottom="0.74803149606299213" header="0.31496062992125984" footer="0.31496062992125984"/>
  <pageSetup paperSize="9" scale="7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K45"/>
  <sheetViews>
    <sheetView showGridLines="0" workbookViewId="0"/>
  </sheetViews>
  <sheetFormatPr baseColWidth="10" defaultRowHeight="15"/>
  <cols>
    <col min="1" max="1" width="65.140625" customWidth="1"/>
    <col min="2" max="2" width="39.28515625" customWidth="1"/>
    <col min="3" max="6" width="17.7109375" customWidth="1"/>
    <col min="7" max="7" width="19.42578125" customWidth="1"/>
    <col min="8" max="10" width="17.7109375" customWidth="1"/>
    <col min="11" max="11" width="17.7109375" style="703" customWidth="1"/>
    <col min="257" max="257" width="65.140625" customWidth="1"/>
    <col min="258" max="258" width="39.28515625" customWidth="1"/>
    <col min="259" max="262" width="17.7109375" customWidth="1"/>
    <col min="263" max="263" width="19.42578125" customWidth="1"/>
    <col min="264" max="267" width="17.7109375" customWidth="1"/>
    <col min="513" max="513" width="65.140625" customWidth="1"/>
    <col min="514" max="514" width="39.28515625" customWidth="1"/>
    <col min="515" max="518" width="17.7109375" customWidth="1"/>
    <col min="519" max="519" width="19.42578125" customWidth="1"/>
    <col min="520" max="523" width="17.7109375" customWidth="1"/>
    <col min="769" max="769" width="65.140625" customWidth="1"/>
    <col min="770" max="770" width="39.28515625" customWidth="1"/>
    <col min="771" max="774" width="17.7109375" customWidth="1"/>
    <col min="775" max="775" width="19.42578125" customWidth="1"/>
    <col min="776" max="779" width="17.7109375" customWidth="1"/>
    <col min="1025" max="1025" width="65.140625" customWidth="1"/>
    <col min="1026" max="1026" width="39.28515625" customWidth="1"/>
    <col min="1027" max="1030" width="17.7109375" customWidth="1"/>
    <col min="1031" max="1031" width="19.42578125" customWidth="1"/>
    <col min="1032" max="1035" width="17.7109375" customWidth="1"/>
    <col min="1281" max="1281" width="65.140625" customWidth="1"/>
    <col min="1282" max="1282" width="39.28515625" customWidth="1"/>
    <col min="1283" max="1286" width="17.7109375" customWidth="1"/>
    <col min="1287" max="1287" width="19.42578125" customWidth="1"/>
    <col min="1288" max="1291" width="17.7109375" customWidth="1"/>
    <col min="1537" max="1537" width="65.140625" customWidth="1"/>
    <col min="1538" max="1538" width="39.28515625" customWidth="1"/>
    <col min="1539" max="1542" width="17.7109375" customWidth="1"/>
    <col min="1543" max="1543" width="19.42578125" customWidth="1"/>
    <col min="1544" max="1547" width="17.7109375" customWidth="1"/>
    <col min="1793" max="1793" width="65.140625" customWidth="1"/>
    <col min="1794" max="1794" width="39.28515625" customWidth="1"/>
    <col min="1795" max="1798" width="17.7109375" customWidth="1"/>
    <col min="1799" max="1799" width="19.42578125" customWidth="1"/>
    <col min="1800" max="1803" width="17.7109375" customWidth="1"/>
    <col min="2049" max="2049" width="65.140625" customWidth="1"/>
    <col min="2050" max="2050" width="39.28515625" customWidth="1"/>
    <col min="2051" max="2054" width="17.7109375" customWidth="1"/>
    <col min="2055" max="2055" width="19.42578125" customWidth="1"/>
    <col min="2056" max="2059" width="17.7109375" customWidth="1"/>
    <col min="2305" max="2305" width="65.140625" customWidth="1"/>
    <col min="2306" max="2306" width="39.28515625" customWidth="1"/>
    <col min="2307" max="2310" width="17.7109375" customWidth="1"/>
    <col min="2311" max="2311" width="19.42578125" customWidth="1"/>
    <col min="2312" max="2315" width="17.7109375" customWidth="1"/>
    <col min="2561" max="2561" width="65.140625" customWidth="1"/>
    <col min="2562" max="2562" width="39.28515625" customWidth="1"/>
    <col min="2563" max="2566" width="17.7109375" customWidth="1"/>
    <col min="2567" max="2567" width="19.42578125" customWidth="1"/>
    <col min="2568" max="2571" width="17.7109375" customWidth="1"/>
    <col min="2817" max="2817" width="65.140625" customWidth="1"/>
    <col min="2818" max="2818" width="39.28515625" customWidth="1"/>
    <col min="2819" max="2822" width="17.7109375" customWidth="1"/>
    <col min="2823" max="2823" width="19.42578125" customWidth="1"/>
    <col min="2824" max="2827" width="17.7109375" customWidth="1"/>
    <col min="3073" max="3073" width="65.140625" customWidth="1"/>
    <col min="3074" max="3074" width="39.28515625" customWidth="1"/>
    <col min="3075" max="3078" width="17.7109375" customWidth="1"/>
    <col min="3079" max="3079" width="19.42578125" customWidth="1"/>
    <col min="3080" max="3083" width="17.7109375" customWidth="1"/>
    <col min="3329" max="3329" width="65.140625" customWidth="1"/>
    <col min="3330" max="3330" width="39.28515625" customWidth="1"/>
    <col min="3331" max="3334" width="17.7109375" customWidth="1"/>
    <col min="3335" max="3335" width="19.42578125" customWidth="1"/>
    <col min="3336" max="3339" width="17.7109375" customWidth="1"/>
    <col min="3585" max="3585" width="65.140625" customWidth="1"/>
    <col min="3586" max="3586" width="39.28515625" customWidth="1"/>
    <col min="3587" max="3590" width="17.7109375" customWidth="1"/>
    <col min="3591" max="3591" width="19.42578125" customWidth="1"/>
    <col min="3592" max="3595" width="17.7109375" customWidth="1"/>
    <col min="3841" max="3841" width="65.140625" customWidth="1"/>
    <col min="3842" max="3842" width="39.28515625" customWidth="1"/>
    <col min="3843" max="3846" width="17.7109375" customWidth="1"/>
    <col min="3847" max="3847" width="19.42578125" customWidth="1"/>
    <col min="3848" max="3851" width="17.7109375" customWidth="1"/>
    <col min="4097" max="4097" width="65.140625" customWidth="1"/>
    <col min="4098" max="4098" width="39.28515625" customWidth="1"/>
    <col min="4099" max="4102" width="17.7109375" customWidth="1"/>
    <col min="4103" max="4103" width="19.42578125" customWidth="1"/>
    <col min="4104" max="4107" width="17.7109375" customWidth="1"/>
    <col min="4353" max="4353" width="65.140625" customWidth="1"/>
    <col min="4354" max="4354" width="39.28515625" customWidth="1"/>
    <col min="4355" max="4358" width="17.7109375" customWidth="1"/>
    <col min="4359" max="4359" width="19.42578125" customWidth="1"/>
    <col min="4360" max="4363" width="17.7109375" customWidth="1"/>
    <col min="4609" max="4609" width="65.140625" customWidth="1"/>
    <col min="4610" max="4610" width="39.28515625" customWidth="1"/>
    <col min="4611" max="4614" width="17.7109375" customWidth="1"/>
    <col min="4615" max="4615" width="19.42578125" customWidth="1"/>
    <col min="4616" max="4619" width="17.7109375" customWidth="1"/>
    <col min="4865" max="4865" width="65.140625" customWidth="1"/>
    <col min="4866" max="4866" width="39.28515625" customWidth="1"/>
    <col min="4867" max="4870" width="17.7109375" customWidth="1"/>
    <col min="4871" max="4871" width="19.42578125" customWidth="1"/>
    <col min="4872" max="4875" width="17.7109375" customWidth="1"/>
    <col min="5121" max="5121" width="65.140625" customWidth="1"/>
    <col min="5122" max="5122" width="39.28515625" customWidth="1"/>
    <col min="5123" max="5126" width="17.7109375" customWidth="1"/>
    <col min="5127" max="5127" width="19.42578125" customWidth="1"/>
    <col min="5128" max="5131" width="17.7109375" customWidth="1"/>
    <col min="5377" max="5377" width="65.140625" customWidth="1"/>
    <col min="5378" max="5378" width="39.28515625" customWidth="1"/>
    <col min="5379" max="5382" width="17.7109375" customWidth="1"/>
    <col min="5383" max="5383" width="19.42578125" customWidth="1"/>
    <col min="5384" max="5387" width="17.7109375" customWidth="1"/>
    <col min="5633" max="5633" width="65.140625" customWidth="1"/>
    <col min="5634" max="5634" width="39.28515625" customWidth="1"/>
    <col min="5635" max="5638" width="17.7109375" customWidth="1"/>
    <col min="5639" max="5639" width="19.42578125" customWidth="1"/>
    <col min="5640" max="5643" width="17.7109375" customWidth="1"/>
    <col min="5889" max="5889" width="65.140625" customWidth="1"/>
    <col min="5890" max="5890" width="39.28515625" customWidth="1"/>
    <col min="5891" max="5894" width="17.7109375" customWidth="1"/>
    <col min="5895" max="5895" width="19.42578125" customWidth="1"/>
    <col min="5896" max="5899" width="17.7109375" customWidth="1"/>
    <col min="6145" max="6145" width="65.140625" customWidth="1"/>
    <col min="6146" max="6146" width="39.28515625" customWidth="1"/>
    <col min="6147" max="6150" width="17.7109375" customWidth="1"/>
    <col min="6151" max="6151" width="19.42578125" customWidth="1"/>
    <col min="6152" max="6155" width="17.7109375" customWidth="1"/>
    <col min="6401" max="6401" width="65.140625" customWidth="1"/>
    <col min="6402" max="6402" width="39.28515625" customWidth="1"/>
    <col min="6403" max="6406" width="17.7109375" customWidth="1"/>
    <col min="6407" max="6407" width="19.42578125" customWidth="1"/>
    <col min="6408" max="6411" width="17.7109375" customWidth="1"/>
    <col min="6657" max="6657" width="65.140625" customWidth="1"/>
    <col min="6658" max="6658" width="39.28515625" customWidth="1"/>
    <col min="6659" max="6662" width="17.7109375" customWidth="1"/>
    <col min="6663" max="6663" width="19.42578125" customWidth="1"/>
    <col min="6664" max="6667" width="17.7109375" customWidth="1"/>
    <col min="6913" max="6913" width="65.140625" customWidth="1"/>
    <col min="6914" max="6914" width="39.28515625" customWidth="1"/>
    <col min="6915" max="6918" width="17.7109375" customWidth="1"/>
    <col min="6919" max="6919" width="19.42578125" customWidth="1"/>
    <col min="6920" max="6923" width="17.7109375" customWidth="1"/>
    <col min="7169" max="7169" width="65.140625" customWidth="1"/>
    <col min="7170" max="7170" width="39.28515625" customWidth="1"/>
    <col min="7171" max="7174" width="17.7109375" customWidth="1"/>
    <col min="7175" max="7175" width="19.42578125" customWidth="1"/>
    <col min="7176" max="7179" width="17.7109375" customWidth="1"/>
    <col min="7425" max="7425" width="65.140625" customWidth="1"/>
    <col min="7426" max="7426" width="39.28515625" customWidth="1"/>
    <col min="7427" max="7430" width="17.7109375" customWidth="1"/>
    <col min="7431" max="7431" width="19.42578125" customWidth="1"/>
    <col min="7432" max="7435" width="17.7109375" customWidth="1"/>
    <col min="7681" max="7681" width="65.140625" customWidth="1"/>
    <col min="7682" max="7682" width="39.28515625" customWidth="1"/>
    <col min="7683" max="7686" width="17.7109375" customWidth="1"/>
    <col min="7687" max="7687" width="19.42578125" customWidth="1"/>
    <col min="7688" max="7691" width="17.7109375" customWidth="1"/>
    <col min="7937" max="7937" width="65.140625" customWidth="1"/>
    <col min="7938" max="7938" width="39.28515625" customWidth="1"/>
    <col min="7939" max="7942" width="17.7109375" customWidth="1"/>
    <col min="7943" max="7943" width="19.42578125" customWidth="1"/>
    <col min="7944" max="7947" width="17.7109375" customWidth="1"/>
    <col min="8193" max="8193" width="65.140625" customWidth="1"/>
    <col min="8194" max="8194" width="39.28515625" customWidth="1"/>
    <col min="8195" max="8198" width="17.7109375" customWidth="1"/>
    <col min="8199" max="8199" width="19.42578125" customWidth="1"/>
    <col min="8200" max="8203" width="17.7109375" customWidth="1"/>
    <col min="8449" max="8449" width="65.140625" customWidth="1"/>
    <col min="8450" max="8450" width="39.28515625" customWidth="1"/>
    <col min="8451" max="8454" width="17.7109375" customWidth="1"/>
    <col min="8455" max="8455" width="19.42578125" customWidth="1"/>
    <col min="8456" max="8459" width="17.7109375" customWidth="1"/>
    <col min="8705" max="8705" width="65.140625" customWidth="1"/>
    <col min="8706" max="8706" width="39.28515625" customWidth="1"/>
    <col min="8707" max="8710" width="17.7109375" customWidth="1"/>
    <col min="8711" max="8711" width="19.42578125" customWidth="1"/>
    <col min="8712" max="8715" width="17.7109375" customWidth="1"/>
    <col min="8961" max="8961" width="65.140625" customWidth="1"/>
    <col min="8962" max="8962" width="39.28515625" customWidth="1"/>
    <col min="8963" max="8966" width="17.7109375" customWidth="1"/>
    <col min="8967" max="8967" width="19.42578125" customWidth="1"/>
    <col min="8968" max="8971" width="17.7109375" customWidth="1"/>
    <col min="9217" max="9217" width="65.140625" customWidth="1"/>
    <col min="9218" max="9218" width="39.28515625" customWidth="1"/>
    <col min="9219" max="9222" width="17.7109375" customWidth="1"/>
    <col min="9223" max="9223" width="19.42578125" customWidth="1"/>
    <col min="9224" max="9227" width="17.7109375" customWidth="1"/>
    <col min="9473" max="9473" width="65.140625" customWidth="1"/>
    <col min="9474" max="9474" width="39.28515625" customWidth="1"/>
    <col min="9475" max="9478" width="17.7109375" customWidth="1"/>
    <col min="9479" max="9479" width="19.42578125" customWidth="1"/>
    <col min="9480" max="9483" width="17.7109375" customWidth="1"/>
    <col min="9729" max="9729" width="65.140625" customWidth="1"/>
    <col min="9730" max="9730" width="39.28515625" customWidth="1"/>
    <col min="9731" max="9734" width="17.7109375" customWidth="1"/>
    <col min="9735" max="9735" width="19.42578125" customWidth="1"/>
    <col min="9736" max="9739" width="17.7109375" customWidth="1"/>
    <col min="9985" max="9985" width="65.140625" customWidth="1"/>
    <col min="9986" max="9986" width="39.28515625" customWidth="1"/>
    <col min="9987" max="9990" width="17.7109375" customWidth="1"/>
    <col min="9991" max="9991" width="19.42578125" customWidth="1"/>
    <col min="9992" max="9995" width="17.7109375" customWidth="1"/>
    <col min="10241" max="10241" width="65.140625" customWidth="1"/>
    <col min="10242" max="10242" width="39.28515625" customWidth="1"/>
    <col min="10243" max="10246" width="17.7109375" customWidth="1"/>
    <col min="10247" max="10247" width="19.42578125" customWidth="1"/>
    <col min="10248" max="10251" width="17.7109375" customWidth="1"/>
    <col min="10497" max="10497" width="65.140625" customWidth="1"/>
    <col min="10498" max="10498" width="39.28515625" customWidth="1"/>
    <col min="10499" max="10502" width="17.7109375" customWidth="1"/>
    <col min="10503" max="10503" width="19.42578125" customWidth="1"/>
    <col min="10504" max="10507" width="17.7109375" customWidth="1"/>
    <col min="10753" max="10753" width="65.140625" customWidth="1"/>
    <col min="10754" max="10754" width="39.28515625" customWidth="1"/>
    <col min="10755" max="10758" width="17.7109375" customWidth="1"/>
    <col min="10759" max="10759" width="19.42578125" customWidth="1"/>
    <col min="10760" max="10763" width="17.7109375" customWidth="1"/>
    <col min="11009" max="11009" width="65.140625" customWidth="1"/>
    <col min="11010" max="11010" width="39.28515625" customWidth="1"/>
    <col min="11011" max="11014" width="17.7109375" customWidth="1"/>
    <col min="11015" max="11015" width="19.42578125" customWidth="1"/>
    <col min="11016" max="11019" width="17.7109375" customWidth="1"/>
    <col min="11265" max="11265" width="65.140625" customWidth="1"/>
    <col min="11266" max="11266" width="39.28515625" customWidth="1"/>
    <col min="11267" max="11270" width="17.7109375" customWidth="1"/>
    <col min="11271" max="11271" width="19.42578125" customWidth="1"/>
    <col min="11272" max="11275" width="17.7109375" customWidth="1"/>
    <col min="11521" max="11521" width="65.140625" customWidth="1"/>
    <col min="11522" max="11522" width="39.28515625" customWidth="1"/>
    <col min="11523" max="11526" width="17.7109375" customWidth="1"/>
    <col min="11527" max="11527" width="19.42578125" customWidth="1"/>
    <col min="11528" max="11531" width="17.7109375" customWidth="1"/>
    <col min="11777" max="11777" width="65.140625" customWidth="1"/>
    <col min="11778" max="11778" width="39.28515625" customWidth="1"/>
    <col min="11779" max="11782" width="17.7109375" customWidth="1"/>
    <col min="11783" max="11783" width="19.42578125" customWidth="1"/>
    <col min="11784" max="11787" width="17.7109375" customWidth="1"/>
    <col min="12033" max="12033" width="65.140625" customWidth="1"/>
    <col min="12034" max="12034" width="39.28515625" customWidth="1"/>
    <col min="12035" max="12038" width="17.7109375" customWidth="1"/>
    <col min="12039" max="12039" width="19.42578125" customWidth="1"/>
    <col min="12040" max="12043" width="17.7109375" customWidth="1"/>
    <col min="12289" max="12289" width="65.140625" customWidth="1"/>
    <col min="12290" max="12290" width="39.28515625" customWidth="1"/>
    <col min="12291" max="12294" width="17.7109375" customWidth="1"/>
    <col min="12295" max="12295" width="19.42578125" customWidth="1"/>
    <col min="12296" max="12299" width="17.7109375" customWidth="1"/>
    <col min="12545" max="12545" width="65.140625" customWidth="1"/>
    <col min="12546" max="12546" width="39.28515625" customWidth="1"/>
    <col min="12547" max="12550" width="17.7109375" customWidth="1"/>
    <col min="12551" max="12551" width="19.42578125" customWidth="1"/>
    <col min="12552" max="12555" width="17.7109375" customWidth="1"/>
    <col min="12801" max="12801" width="65.140625" customWidth="1"/>
    <col min="12802" max="12802" width="39.28515625" customWidth="1"/>
    <col min="12803" max="12806" width="17.7109375" customWidth="1"/>
    <col min="12807" max="12807" width="19.42578125" customWidth="1"/>
    <col min="12808" max="12811" width="17.7109375" customWidth="1"/>
    <col min="13057" max="13057" width="65.140625" customWidth="1"/>
    <col min="13058" max="13058" width="39.28515625" customWidth="1"/>
    <col min="13059" max="13062" width="17.7109375" customWidth="1"/>
    <col min="13063" max="13063" width="19.42578125" customWidth="1"/>
    <col min="13064" max="13067" width="17.7109375" customWidth="1"/>
    <col min="13313" max="13313" width="65.140625" customWidth="1"/>
    <col min="13314" max="13314" width="39.28515625" customWidth="1"/>
    <col min="13315" max="13318" width="17.7109375" customWidth="1"/>
    <col min="13319" max="13319" width="19.42578125" customWidth="1"/>
    <col min="13320" max="13323" width="17.7109375" customWidth="1"/>
    <col min="13569" max="13569" width="65.140625" customWidth="1"/>
    <col min="13570" max="13570" width="39.28515625" customWidth="1"/>
    <col min="13571" max="13574" width="17.7109375" customWidth="1"/>
    <col min="13575" max="13575" width="19.42578125" customWidth="1"/>
    <col min="13576" max="13579" width="17.7109375" customWidth="1"/>
    <col min="13825" max="13825" width="65.140625" customWidth="1"/>
    <col min="13826" max="13826" width="39.28515625" customWidth="1"/>
    <col min="13827" max="13830" width="17.7109375" customWidth="1"/>
    <col min="13831" max="13831" width="19.42578125" customWidth="1"/>
    <col min="13832" max="13835" width="17.7109375" customWidth="1"/>
    <col min="14081" max="14081" width="65.140625" customWidth="1"/>
    <col min="14082" max="14082" width="39.28515625" customWidth="1"/>
    <col min="14083" max="14086" width="17.7109375" customWidth="1"/>
    <col min="14087" max="14087" width="19.42578125" customWidth="1"/>
    <col min="14088" max="14091" width="17.7109375" customWidth="1"/>
    <col min="14337" max="14337" width="65.140625" customWidth="1"/>
    <col min="14338" max="14338" width="39.28515625" customWidth="1"/>
    <col min="14339" max="14342" width="17.7109375" customWidth="1"/>
    <col min="14343" max="14343" width="19.42578125" customWidth="1"/>
    <col min="14344" max="14347" width="17.7109375" customWidth="1"/>
    <col min="14593" max="14593" width="65.140625" customWidth="1"/>
    <col min="14594" max="14594" width="39.28515625" customWidth="1"/>
    <col min="14595" max="14598" width="17.7109375" customWidth="1"/>
    <col min="14599" max="14599" width="19.42578125" customWidth="1"/>
    <col min="14600" max="14603" width="17.7109375" customWidth="1"/>
    <col min="14849" max="14849" width="65.140625" customWidth="1"/>
    <col min="14850" max="14850" width="39.28515625" customWidth="1"/>
    <col min="14851" max="14854" width="17.7109375" customWidth="1"/>
    <col min="14855" max="14855" width="19.42578125" customWidth="1"/>
    <col min="14856" max="14859" width="17.7109375" customWidth="1"/>
    <col min="15105" max="15105" width="65.140625" customWidth="1"/>
    <col min="15106" max="15106" width="39.28515625" customWidth="1"/>
    <col min="15107" max="15110" width="17.7109375" customWidth="1"/>
    <col min="15111" max="15111" width="19.42578125" customWidth="1"/>
    <col min="15112" max="15115" width="17.7109375" customWidth="1"/>
    <col min="15361" max="15361" width="65.140625" customWidth="1"/>
    <col min="15362" max="15362" width="39.28515625" customWidth="1"/>
    <col min="15363" max="15366" width="17.7109375" customWidth="1"/>
    <col min="15367" max="15367" width="19.42578125" customWidth="1"/>
    <col min="15368" max="15371" width="17.7109375" customWidth="1"/>
    <col min="15617" max="15617" width="65.140625" customWidth="1"/>
    <col min="15618" max="15618" width="39.28515625" customWidth="1"/>
    <col min="15619" max="15622" width="17.7109375" customWidth="1"/>
    <col min="15623" max="15623" width="19.42578125" customWidth="1"/>
    <col min="15624" max="15627" width="17.7109375" customWidth="1"/>
    <col min="15873" max="15873" width="65.140625" customWidth="1"/>
    <col min="15874" max="15874" width="39.28515625" customWidth="1"/>
    <col min="15875" max="15878" width="17.7109375" customWidth="1"/>
    <col min="15879" max="15879" width="19.42578125" customWidth="1"/>
    <col min="15880" max="15883" width="17.7109375" customWidth="1"/>
    <col min="16129" max="16129" width="65.140625" customWidth="1"/>
    <col min="16130" max="16130" width="39.28515625" customWidth="1"/>
    <col min="16131" max="16134" width="17.7109375" customWidth="1"/>
    <col min="16135" max="16135" width="19.42578125" customWidth="1"/>
    <col min="16136" max="16139" width="17.7109375" customWidth="1"/>
  </cols>
  <sheetData>
    <row r="1" spans="1:11" s="177" customFormat="1" ht="21" customHeight="1">
      <c r="A1" s="175" t="s">
        <v>235</v>
      </c>
      <c r="B1" s="176"/>
      <c r="K1" s="681"/>
    </row>
    <row r="2" spans="1:11" s="177" customFormat="1" ht="19.5" customHeight="1">
      <c r="A2" s="178" t="s">
        <v>1015</v>
      </c>
      <c r="B2" s="176"/>
      <c r="C2" s="179"/>
      <c r="D2" s="179"/>
      <c r="E2" s="179"/>
      <c r="F2" s="179"/>
      <c r="G2" s="179"/>
      <c r="H2" s="179"/>
      <c r="I2" s="179"/>
      <c r="J2" s="179"/>
      <c r="K2" s="682" t="s">
        <v>234</v>
      </c>
    </row>
    <row r="3" spans="1:11" s="177" customFormat="1" ht="22.5" customHeight="1">
      <c r="A3" s="181" t="s">
        <v>238</v>
      </c>
      <c r="B3" s="176"/>
      <c r="C3" s="179"/>
      <c r="D3" s="179"/>
      <c r="E3" s="179"/>
      <c r="F3" s="179"/>
      <c r="G3" s="179"/>
      <c r="H3" s="179"/>
      <c r="I3" s="179"/>
      <c r="J3" s="179"/>
      <c r="K3" s="683"/>
    </row>
    <row r="4" spans="1:11" s="177" customFormat="1" ht="25.5" customHeight="1">
      <c r="A4" s="175" t="s">
        <v>232</v>
      </c>
      <c r="B4" s="176"/>
      <c r="C4" s="179"/>
      <c r="D4" s="179"/>
      <c r="E4" s="179"/>
      <c r="F4" s="179"/>
      <c r="G4" s="179"/>
      <c r="H4" s="179"/>
      <c r="I4" s="179"/>
      <c r="J4" s="179"/>
      <c r="K4" s="683"/>
    </row>
    <row r="5" spans="1:11" s="177" customFormat="1">
      <c r="A5" s="247"/>
      <c r="B5" s="176"/>
      <c r="C5" s="179"/>
      <c r="D5" s="179"/>
      <c r="E5" s="179"/>
      <c r="F5" s="179"/>
      <c r="G5" s="179"/>
      <c r="H5" s="179"/>
      <c r="I5" s="179"/>
      <c r="J5" s="179"/>
      <c r="K5" s="683"/>
    </row>
    <row r="6" spans="1:11" s="177" customFormat="1" ht="18.75" customHeight="1">
      <c r="A6" s="415"/>
      <c r="B6" s="416"/>
      <c r="C6" s="416"/>
      <c r="D6" s="417"/>
      <c r="E6" s="417"/>
      <c r="F6" s="417"/>
      <c r="G6" s="248"/>
      <c r="H6" s="249"/>
      <c r="I6" s="249"/>
      <c r="K6" s="684"/>
    </row>
    <row r="7" spans="1:11" s="177" customFormat="1" ht="18.75" customHeight="1">
      <c r="A7" s="248"/>
      <c r="D7" s="249"/>
      <c r="E7" s="249"/>
      <c r="F7" s="249"/>
      <c r="G7" s="248"/>
      <c r="H7" s="249"/>
      <c r="I7" s="249"/>
      <c r="K7" s="684"/>
    </row>
    <row r="8" spans="1:11" s="177" customFormat="1">
      <c r="A8" s="182" t="s">
        <v>228</v>
      </c>
      <c r="B8" s="182" t="s">
        <v>227</v>
      </c>
      <c r="C8" s="182" t="s">
        <v>226</v>
      </c>
      <c r="D8" s="182"/>
      <c r="E8" s="183" t="s">
        <v>225</v>
      </c>
      <c r="F8" s="183"/>
      <c r="G8" s="182" t="s">
        <v>224</v>
      </c>
      <c r="H8" s="1381" t="s">
        <v>223</v>
      </c>
      <c r="I8" s="1381"/>
      <c r="J8" s="182" t="s">
        <v>222</v>
      </c>
      <c r="K8" s="685" t="s">
        <v>221</v>
      </c>
    </row>
    <row r="9" spans="1:11" s="186" customFormat="1">
      <c r="A9" s="1382" t="s">
        <v>220</v>
      </c>
      <c r="B9" s="1379" t="s">
        <v>219</v>
      </c>
      <c r="C9" s="1379" t="s">
        <v>218</v>
      </c>
      <c r="D9" s="1379" t="s">
        <v>217</v>
      </c>
      <c r="E9" s="1379" t="s">
        <v>216</v>
      </c>
      <c r="F9" s="1379"/>
      <c r="G9" s="1379" t="s">
        <v>215</v>
      </c>
      <c r="H9" s="1379" t="s">
        <v>214</v>
      </c>
      <c r="I9" s="1379"/>
      <c r="J9" s="1379" t="s">
        <v>240</v>
      </c>
      <c r="K9" s="1453" t="s">
        <v>212</v>
      </c>
    </row>
    <row r="10" spans="1:11" s="186" customFormat="1">
      <c r="A10" s="1382"/>
      <c r="B10" s="1379"/>
      <c r="C10" s="1379"/>
      <c r="D10" s="1379"/>
      <c r="E10" s="187" t="s">
        <v>211</v>
      </c>
      <c r="F10" s="187" t="s">
        <v>210</v>
      </c>
      <c r="G10" s="1379"/>
      <c r="H10" s="187" t="s">
        <v>211</v>
      </c>
      <c r="I10" s="187" t="s">
        <v>210</v>
      </c>
      <c r="J10" s="1379"/>
      <c r="K10" s="1453"/>
    </row>
    <row r="11" spans="1:11" ht="28.5" customHeight="1">
      <c r="A11" s="188" t="s">
        <v>208</v>
      </c>
      <c r="B11" s="189"/>
      <c r="C11" s="189"/>
      <c r="D11" s="189"/>
      <c r="E11" s="189"/>
      <c r="F11" s="189"/>
      <c r="G11" s="189"/>
      <c r="H11" s="189"/>
      <c r="I11" s="189"/>
      <c r="J11" s="686" t="s">
        <v>1016</v>
      </c>
      <c r="K11" s="687">
        <v>0</v>
      </c>
    </row>
    <row r="12" spans="1:11" ht="15.95" customHeight="1">
      <c r="A12" s="188" t="s">
        <v>207</v>
      </c>
      <c r="B12" s="189"/>
      <c r="C12" s="189"/>
      <c r="D12" s="196"/>
      <c r="E12" s="196"/>
      <c r="F12" s="196"/>
      <c r="G12" s="189"/>
      <c r="H12" s="189"/>
      <c r="I12" s="189"/>
      <c r="J12" s="189"/>
      <c r="K12" s="687">
        <f>SUM(K13:K17)</f>
        <v>14360204.960000001</v>
      </c>
    </row>
    <row r="13" spans="1:11" ht="15.95" customHeight="1">
      <c r="A13" s="688" t="s">
        <v>1017</v>
      </c>
      <c r="B13" s="330" t="s">
        <v>1018</v>
      </c>
      <c r="C13" s="193" t="s">
        <v>345</v>
      </c>
      <c r="D13" s="251">
        <v>1.6E-2</v>
      </c>
      <c r="E13" s="424">
        <v>8.0000000000000002E-3</v>
      </c>
      <c r="F13" s="194">
        <v>0.08</v>
      </c>
      <c r="G13" s="193"/>
      <c r="H13" s="193"/>
      <c r="I13" s="193"/>
      <c r="J13" s="193"/>
      <c r="K13" s="689">
        <v>8821132.3399999999</v>
      </c>
    </row>
    <row r="14" spans="1:11" ht="15.95" customHeight="1">
      <c r="A14" s="688" t="s">
        <v>347</v>
      </c>
      <c r="B14" s="330"/>
      <c r="C14" s="193"/>
      <c r="D14" s="194" t="s">
        <v>490</v>
      </c>
      <c r="E14" s="194"/>
      <c r="F14" s="194"/>
      <c r="G14" s="193"/>
      <c r="H14" s="193"/>
      <c r="I14" s="193"/>
      <c r="J14" s="193"/>
      <c r="K14" s="689">
        <v>5529625.46</v>
      </c>
    </row>
    <row r="15" spans="1:11" ht="15.95" customHeight="1">
      <c r="A15" s="192" t="s">
        <v>1019</v>
      </c>
      <c r="B15" s="330"/>
      <c r="C15" s="193" t="s">
        <v>352</v>
      </c>
      <c r="D15" s="194"/>
      <c r="E15" s="194"/>
      <c r="F15" s="194"/>
      <c r="G15" s="193"/>
      <c r="H15" s="690">
        <v>300</v>
      </c>
      <c r="I15" s="690">
        <v>3102</v>
      </c>
      <c r="J15" s="193"/>
      <c r="K15" s="689"/>
    </row>
    <row r="16" spans="1:11" ht="15.95" customHeight="1">
      <c r="A16" s="192"/>
      <c r="B16" s="330"/>
      <c r="C16" s="193" t="s">
        <v>345</v>
      </c>
      <c r="D16" s="194"/>
      <c r="E16" s="194"/>
      <c r="F16" s="194"/>
      <c r="G16" s="193"/>
      <c r="H16" s="690"/>
      <c r="I16" s="690"/>
      <c r="J16" s="193"/>
      <c r="K16" s="689"/>
    </row>
    <row r="17" spans="1:11" ht="53.25" customHeight="1">
      <c r="A17" s="688" t="s">
        <v>1020</v>
      </c>
      <c r="B17" s="691" t="s">
        <v>1021</v>
      </c>
      <c r="C17" s="193" t="s">
        <v>345</v>
      </c>
      <c r="D17" s="194" t="s">
        <v>1022</v>
      </c>
      <c r="E17" s="194"/>
      <c r="F17" s="194"/>
      <c r="G17" s="193"/>
      <c r="H17" s="690"/>
      <c r="I17" s="690"/>
      <c r="J17" s="193"/>
      <c r="K17" s="689">
        <v>9447.16</v>
      </c>
    </row>
    <row r="18" spans="1:11" s="177" customFormat="1" ht="15.95" customHeight="1">
      <c r="A18" s="209" t="s">
        <v>191</v>
      </c>
      <c r="B18" s="210"/>
      <c r="C18" s="210"/>
      <c r="D18" s="211"/>
      <c r="E18" s="211"/>
      <c r="F18" s="211"/>
      <c r="G18" s="210"/>
      <c r="H18" s="210"/>
      <c r="I18" s="210"/>
      <c r="J18" s="210"/>
      <c r="K18" s="692">
        <v>0</v>
      </c>
    </row>
    <row r="19" spans="1:11" ht="15.95" customHeight="1">
      <c r="A19" s="188" t="s">
        <v>179</v>
      </c>
      <c r="B19" s="189"/>
      <c r="C19" s="189"/>
      <c r="D19" s="196"/>
      <c r="E19" s="196"/>
      <c r="F19" s="196"/>
      <c r="G19" s="189"/>
      <c r="H19" s="189"/>
      <c r="I19" s="189"/>
      <c r="J19" s="189"/>
      <c r="K19" s="687">
        <f>SUM(K20:K34)</f>
        <v>36801928.360000007</v>
      </c>
    </row>
    <row r="20" spans="1:11" ht="15.95" customHeight="1">
      <c r="A20" s="688" t="s">
        <v>1023</v>
      </c>
      <c r="B20" s="330" t="s">
        <v>1024</v>
      </c>
      <c r="C20" s="193" t="s">
        <v>345</v>
      </c>
      <c r="D20" s="424" t="s">
        <v>490</v>
      </c>
      <c r="E20" s="194"/>
      <c r="F20" s="194"/>
      <c r="G20" s="193"/>
      <c r="H20" s="693">
        <v>2.2200000000000002</v>
      </c>
      <c r="I20" s="693">
        <v>45.24</v>
      </c>
      <c r="J20" s="193"/>
      <c r="K20" s="689">
        <v>26253510.920000002</v>
      </c>
    </row>
    <row r="21" spans="1:11" ht="15.95" customHeight="1">
      <c r="A21" s="688" t="s">
        <v>1025</v>
      </c>
      <c r="B21" s="330"/>
      <c r="C21" s="432" t="s">
        <v>345</v>
      </c>
      <c r="D21" s="424">
        <v>0.1</v>
      </c>
      <c r="E21" s="194"/>
      <c r="F21" s="194"/>
      <c r="G21" s="193"/>
      <c r="H21" s="693">
        <v>80</v>
      </c>
      <c r="I21" s="693">
        <v>161</v>
      </c>
      <c r="J21" s="193"/>
      <c r="K21" s="689">
        <v>3835116.24</v>
      </c>
    </row>
    <row r="22" spans="1:11" ht="15.95" customHeight="1">
      <c r="A22" s="694" t="s">
        <v>1026</v>
      </c>
      <c r="B22" s="330"/>
      <c r="C22" s="432" t="s">
        <v>352</v>
      </c>
      <c r="D22" s="424"/>
      <c r="E22" s="194"/>
      <c r="F22" s="194"/>
      <c r="G22" s="193"/>
      <c r="H22" s="693">
        <v>628</v>
      </c>
      <c r="I22" s="693">
        <v>7518</v>
      </c>
      <c r="J22" s="193"/>
      <c r="K22" s="689">
        <v>2756500.13</v>
      </c>
    </row>
    <row r="23" spans="1:11" ht="15.95" customHeight="1">
      <c r="A23" s="695"/>
      <c r="B23" s="330"/>
      <c r="C23" s="432" t="s">
        <v>345</v>
      </c>
      <c r="D23" s="424"/>
      <c r="E23" s="194"/>
      <c r="F23" s="194"/>
      <c r="G23" s="193"/>
      <c r="H23" s="690"/>
      <c r="I23" s="690"/>
      <c r="J23" s="193"/>
      <c r="K23" s="689"/>
    </row>
    <row r="24" spans="1:11" ht="15.95" customHeight="1">
      <c r="A24" s="696" t="s">
        <v>1027</v>
      </c>
      <c r="B24" s="330" t="s">
        <v>1028</v>
      </c>
      <c r="C24" s="432" t="s">
        <v>345</v>
      </c>
      <c r="D24" s="424">
        <v>0.05</v>
      </c>
      <c r="E24" s="194"/>
      <c r="F24" s="194"/>
      <c r="G24" s="193"/>
      <c r="H24" s="690"/>
      <c r="I24" s="690"/>
      <c r="J24" s="193"/>
      <c r="K24" s="689"/>
    </row>
    <row r="25" spans="1:11" ht="15.95" customHeight="1">
      <c r="A25" s="688" t="s">
        <v>1029</v>
      </c>
      <c r="B25" s="330"/>
      <c r="C25" s="432"/>
      <c r="D25" s="424" t="s">
        <v>490</v>
      </c>
      <c r="E25" s="194"/>
      <c r="F25" s="194"/>
      <c r="G25" s="193"/>
      <c r="H25" s="693">
        <v>23</v>
      </c>
      <c r="I25" s="693">
        <v>447.5</v>
      </c>
      <c r="J25" s="193"/>
      <c r="K25" s="689">
        <v>1620712.95</v>
      </c>
    </row>
    <row r="26" spans="1:11" ht="15.95" customHeight="1">
      <c r="A26" s="688" t="s">
        <v>1030</v>
      </c>
      <c r="B26" s="330" t="s">
        <v>1031</v>
      </c>
      <c r="C26" s="432" t="s">
        <v>345</v>
      </c>
      <c r="D26" s="424" t="s">
        <v>490</v>
      </c>
      <c r="E26" s="194"/>
      <c r="F26" s="194"/>
      <c r="G26" s="193"/>
      <c r="H26" s="690">
        <v>270</v>
      </c>
      <c r="I26" s="690">
        <v>1228.5</v>
      </c>
      <c r="J26" s="193"/>
      <c r="K26" s="689">
        <v>819627.27</v>
      </c>
    </row>
    <row r="27" spans="1:11" ht="15.95" customHeight="1">
      <c r="A27" s="688" t="s">
        <v>1032</v>
      </c>
      <c r="B27" s="330"/>
      <c r="C27" s="432"/>
      <c r="D27" s="424" t="s">
        <v>490</v>
      </c>
      <c r="E27" s="194"/>
      <c r="F27" s="194"/>
      <c r="G27" s="193"/>
      <c r="H27" s="693">
        <v>17.5</v>
      </c>
      <c r="I27" s="693">
        <v>2633</v>
      </c>
      <c r="J27" s="193"/>
      <c r="K27" s="689">
        <v>631545.59999999998</v>
      </c>
    </row>
    <row r="28" spans="1:11" ht="15.95" customHeight="1">
      <c r="A28" s="688" t="s">
        <v>1033</v>
      </c>
      <c r="B28" s="330" t="s">
        <v>1031</v>
      </c>
      <c r="C28" s="432" t="s">
        <v>1034</v>
      </c>
      <c r="D28" s="424"/>
      <c r="E28" s="194"/>
      <c r="F28" s="194"/>
      <c r="G28" s="193"/>
      <c r="H28" s="690">
        <v>579</v>
      </c>
      <c r="I28" s="690">
        <v>22089</v>
      </c>
      <c r="J28" s="193"/>
      <c r="K28" s="689">
        <v>631370.51</v>
      </c>
    </row>
    <row r="29" spans="1:11" ht="15.95" customHeight="1">
      <c r="A29" s="688" t="s">
        <v>1035</v>
      </c>
      <c r="B29" s="330"/>
      <c r="C29" s="432"/>
      <c r="D29" s="424" t="s">
        <v>490</v>
      </c>
      <c r="E29" s="194"/>
      <c r="F29" s="194"/>
      <c r="G29" s="193"/>
      <c r="H29" s="690"/>
      <c r="I29" s="690"/>
      <c r="J29" s="193"/>
      <c r="K29" s="689">
        <v>191823.78</v>
      </c>
    </row>
    <row r="30" spans="1:11" ht="15.95" customHeight="1">
      <c r="A30" s="192" t="s">
        <v>1036</v>
      </c>
      <c r="B30" s="330" t="s">
        <v>1037</v>
      </c>
      <c r="C30" s="432"/>
      <c r="D30" s="424" t="s">
        <v>490</v>
      </c>
      <c r="E30" s="194"/>
      <c r="F30" s="194"/>
      <c r="G30" s="690">
        <v>3576</v>
      </c>
      <c r="H30" s="690"/>
      <c r="I30" s="690"/>
      <c r="J30" s="193"/>
      <c r="K30" s="689"/>
    </row>
    <row r="31" spans="1:11" ht="15.95" customHeight="1">
      <c r="A31" s="192" t="s">
        <v>1038</v>
      </c>
      <c r="B31" s="330" t="s">
        <v>1031</v>
      </c>
      <c r="C31" s="432" t="s">
        <v>345</v>
      </c>
      <c r="D31" s="424" t="s">
        <v>490</v>
      </c>
      <c r="E31" s="194"/>
      <c r="F31" s="194"/>
      <c r="G31" s="690">
        <v>277</v>
      </c>
      <c r="H31" s="690"/>
      <c r="I31" s="690"/>
      <c r="J31" s="193"/>
      <c r="K31" s="689"/>
    </row>
    <row r="32" spans="1:11" s="177" customFormat="1" ht="15.95" customHeight="1">
      <c r="A32" s="688" t="s">
        <v>1039</v>
      </c>
      <c r="B32" s="330" t="s">
        <v>1040</v>
      </c>
      <c r="C32" s="432" t="s">
        <v>345</v>
      </c>
      <c r="D32" s="424">
        <v>0.01</v>
      </c>
      <c r="E32" s="194"/>
      <c r="F32" s="194"/>
      <c r="G32" s="193"/>
      <c r="H32" s="690"/>
      <c r="I32" s="690"/>
      <c r="J32" s="217"/>
      <c r="K32" s="697">
        <v>52477.61</v>
      </c>
    </row>
    <row r="33" spans="1:11" s="177" customFormat="1" ht="15.95" customHeight="1">
      <c r="A33" s="688" t="s">
        <v>155</v>
      </c>
      <c r="B33" s="330" t="s">
        <v>1031</v>
      </c>
      <c r="C33" s="193" t="s">
        <v>1041</v>
      </c>
      <c r="D33" s="424" t="s">
        <v>490</v>
      </c>
      <c r="E33" s="294"/>
      <c r="F33" s="294"/>
      <c r="G33" s="294"/>
      <c r="H33" s="698">
        <v>688.5</v>
      </c>
      <c r="I33" s="698">
        <v>2014</v>
      </c>
      <c r="J33" s="217"/>
      <c r="K33" s="697">
        <v>6951.65</v>
      </c>
    </row>
    <row r="34" spans="1:11" s="177" customFormat="1" ht="15.95" customHeight="1">
      <c r="A34" s="688" t="s">
        <v>1042</v>
      </c>
      <c r="B34" s="330"/>
      <c r="C34" s="193" t="s">
        <v>1041</v>
      </c>
      <c r="D34" s="424">
        <v>0.1</v>
      </c>
      <c r="E34" s="294"/>
      <c r="F34" s="294"/>
      <c r="G34" s="294"/>
      <c r="H34" s="698">
        <v>136</v>
      </c>
      <c r="I34" s="698">
        <v>760</v>
      </c>
      <c r="J34" s="217"/>
      <c r="K34" s="697">
        <v>2291.6999999999998</v>
      </c>
    </row>
    <row r="35" spans="1:11">
      <c r="A35" s="188" t="s">
        <v>152</v>
      </c>
      <c r="B35" s="189"/>
      <c r="C35" s="189"/>
      <c r="D35" s="196"/>
      <c r="E35" s="196"/>
      <c r="F35" s="196"/>
      <c r="G35" s="189"/>
      <c r="H35" s="189"/>
      <c r="I35" s="189"/>
      <c r="J35" s="699"/>
      <c r="K35" s="700">
        <v>0</v>
      </c>
    </row>
    <row r="36" spans="1:11">
      <c r="A36" s="188" t="s">
        <v>151</v>
      </c>
      <c r="B36" s="189"/>
      <c r="C36" s="189"/>
      <c r="D36" s="196"/>
      <c r="E36" s="196"/>
      <c r="F36" s="196"/>
      <c r="G36" s="189"/>
      <c r="H36" s="189"/>
      <c r="I36" s="189"/>
      <c r="J36" s="189"/>
      <c r="K36" s="687">
        <f>+K37</f>
        <v>59500</v>
      </c>
    </row>
    <row r="37" spans="1:11">
      <c r="A37" s="688" t="s">
        <v>1043</v>
      </c>
      <c r="B37" s="330"/>
      <c r="C37" s="193" t="s">
        <v>1044</v>
      </c>
      <c r="D37" s="194" t="s">
        <v>1022</v>
      </c>
      <c r="E37" s="194"/>
      <c r="F37" s="194"/>
      <c r="G37" s="193"/>
      <c r="H37" s="690"/>
      <c r="I37" s="193"/>
      <c r="J37" s="193"/>
      <c r="K37" s="689">
        <v>59500</v>
      </c>
    </row>
    <row r="38" spans="1:11">
      <c r="A38" s="209" t="s">
        <v>137</v>
      </c>
      <c r="B38" s="210"/>
      <c r="C38" s="210"/>
      <c r="D38" s="211"/>
      <c r="E38" s="211"/>
      <c r="F38" s="211"/>
      <c r="G38" s="210"/>
      <c r="H38" s="210"/>
      <c r="I38" s="701"/>
      <c r="J38" s="189"/>
      <c r="K38" s="687"/>
    </row>
    <row r="39" spans="1:11">
      <c r="A39" s="188" t="s">
        <v>136</v>
      </c>
      <c r="B39" s="189"/>
      <c r="C39" s="189"/>
      <c r="D39" s="196"/>
      <c r="E39" s="196"/>
      <c r="F39" s="196"/>
      <c r="G39" s="189"/>
      <c r="H39" s="189"/>
      <c r="I39" s="210"/>
      <c r="J39" s="210"/>
      <c r="K39" s="692">
        <f>+K41+K40+K43+K42</f>
        <v>1726398.9500000002</v>
      </c>
    </row>
    <row r="40" spans="1:11" s="399" customFormat="1">
      <c r="A40" s="688" t="s">
        <v>1045</v>
      </c>
      <c r="B40" s="330"/>
      <c r="C40" s="193" t="s">
        <v>1046</v>
      </c>
      <c r="D40" s="424" t="s">
        <v>490</v>
      </c>
      <c r="E40" s="194"/>
      <c r="F40" s="194"/>
      <c r="G40" s="193"/>
      <c r="H40" s="690"/>
      <c r="I40" s="690"/>
      <c r="J40" s="193"/>
      <c r="K40" s="689">
        <v>585266.89</v>
      </c>
    </row>
    <row r="41" spans="1:11">
      <c r="A41" s="688" t="s">
        <v>1047</v>
      </c>
      <c r="B41" s="691" t="s">
        <v>1048</v>
      </c>
      <c r="C41" s="193" t="s">
        <v>345</v>
      </c>
      <c r="D41" s="424" t="s">
        <v>490</v>
      </c>
      <c r="E41" s="194"/>
      <c r="F41" s="194"/>
      <c r="G41" s="193"/>
      <c r="H41" s="690"/>
      <c r="I41" s="193"/>
      <c r="J41" s="193"/>
      <c r="K41" s="689">
        <v>436504.46</v>
      </c>
    </row>
    <row r="42" spans="1:11">
      <c r="A42" s="688" t="s">
        <v>1049</v>
      </c>
      <c r="B42" s="330" t="s">
        <v>1050</v>
      </c>
      <c r="C42" s="193" t="s">
        <v>345</v>
      </c>
      <c r="D42" s="424" t="s">
        <v>1022</v>
      </c>
      <c r="E42" s="194"/>
      <c r="F42" s="194"/>
      <c r="G42" s="193"/>
      <c r="H42" s="690"/>
      <c r="I42" s="690"/>
      <c r="J42" s="193"/>
      <c r="K42" s="689">
        <v>352313.82</v>
      </c>
    </row>
    <row r="43" spans="1:11">
      <c r="A43" s="688" t="s">
        <v>1051</v>
      </c>
      <c r="B43" s="330" t="s">
        <v>1050</v>
      </c>
      <c r="C43" s="193" t="s">
        <v>345</v>
      </c>
      <c r="D43" s="424" t="s">
        <v>1022</v>
      </c>
      <c r="E43" s="194"/>
      <c r="F43" s="194"/>
      <c r="G43" s="193"/>
      <c r="H43" s="690"/>
      <c r="I43" s="690"/>
      <c r="J43" s="193"/>
      <c r="K43" s="689">
        <v>352313.78</v>
      </c>
    </row>
    <row r="44" spans="1:11">
      <c r="A44" s="241" t="s">
        <v>108</v>
      </c>
      <c r="B44" s="242"/>
      <c r="C44" s="242"/>
      <c r="D44" s="243"/>
      <c r="E44" s="243"/>
      <c r="F44" s="243"/>
      <c r="G44" s="242"/>
      <c r="H44" s="242"/>
      <c r="I44" s="242"/>
      <c r="J44" s="242"/>
      <c r="K44" s="702">
        <f>+SUM(K12+K19+K35+K36+K38+K39)</f>
        <v>52948032.270000011</v>
      </c>
    </row>
    <row r="45" spans="1:11">
      <c r="A45" s="245"/>
      <c r="B45" s="246"/>
      <c r="C45" s="246"/>
      <c r="D45" s="246"/>
      <c r="E45" s="246"/>
      <c r="F45" s="246"/>
      <c r="G45" s="246"/>
      <c r="H45" s="246"/>
      <c r="I45" s="246"/>
    </row>
  </sheetData>
  <mergeCells count="10">
    <mergeCell ref="J9:J10"/>
    <mergeCell ref="K9:K10"/>
    <mergeCell ref="H8:I8"/>
    <mergeCell ref="A9:A10"/>
    <mergeCell ref="B9:B10"/>
    <mergeCell ref="C9:C10"/>
    <mergeCell ref="D9:D10"/>
    <mergeCell ref="E9:F9"/>
    <mergeCell ref="G9:G10"/>
    <mergeCell ref="H9:I9"/>
  </mergeCells>
  <pageMargins left="0.70866141732283472" right="0.70866141732283472" top="0.74803149606299213" bottom="0.74803149606299213" header="0.31496062992125984" footer="0.31496062992125984"/>
  <pageSetup paperSize="9" scale="5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K67"/>
  <sheetViews>
    <sheetView showGridLines="0" zoomScaleNormal="100" workbookViewId="0"/>
  </sheetViews>
  <sheetFormatPr baseColWidth="10" defaultRowHeight="15"/>
  <cols>
    <col min="1" max="1" width="67" customWidth="1"/>
    <col min="2" max="2" width="22.140625" customWidth="1"/>
    <col min="3" max="3" width="19.28515625" customWidth="1"/>
    <col min="4" max="4" width="16.5703125" customWidth="1"/>
    <col min="5" max="5" width="14.140625" customWidth="1"/>
    <col min="6" max="6" width="13" customWidth="1"/>
    <col min="7" max="7" width="15.28515625" customWidth="1"/>
    <col min="8" max="8" width="13.5703125" customWidth="1"/>
    <col min="9" max="9" width="12.140625" customWidth="1"/>
    <col min="10" max="10" width="15.7109375" customWidth="1"/>
    <col min="11" max="11" width="24.5703125" customWidth="1"/>
    <col min="12" max="13" width="1.7109375" customWidth="1"/>
    <col min="257" max="257" width="67" customWidth="1"/>
    <col min="258" max="258" width="22.140625" customWidth="1"/>
    <col min="259" max="259" width="19.28515625" customWidth="1"/>
    <col min="260" max="260" width="16.5703125" customWidth="1"/>
    <col min="261" max="261" width="14.140625" customWidth="1"/>
    <col min="262" max="262" width="13" customWidth="1"/>
    <col min="263" max="263" width="15.28515625" customWidth="1"/>
    <col min="264" max="264" width="13.5703125" customWidth="1"/>
    <col min="265" max="265" width="12.140625" customWidth="1"/>
    <col min="266" max="266" width="15.7109375" customWidth="1"/>
    <col min="267" max="267" width="24.5703125" customWidth="1"/>
    <col min="268" max="269" width="1.7109375" customWidth="1"/>
    <col min="513" max="513" width="67" customWidth="1"/>
    <col min="514" max="514" width="22.140625" customWidth="1"/>
    <col min="515" max="515" width="19.28515625" customWidth="1"/>
    <col min="516" max="516" width="16.5703125" customWidth="1"/>
    <col min="517" max="517" width="14.140625" customWidth="1"/>
    <col min="518" max="518" width="13" customWidth="1"/>
    <col min="519" max="519" width="15.28515625" customWidth="1"/>
    <col min="520" max="520" width="13.5703125" customWidth="1"/>
    <col min="521" max="521" width="12.140625" customWidth="1"/>
    <col min="522" max="522" width="15.7109375" customWidth="1"/>
    <col min="523" max="523" width="24.5703125" customWidth="1"/>
    <col min="524" max="525" width="1.7109375" customWidth="1"/>
    <col min="769" max="769" width="67" customWidth="1"/>
    <col min="770" max="770" width="22.140625" customWidth="1"/>
    <col min="771" max="771" width="19.28515625" customWidth="1"/>
    <col min="772" max="772" width="16.5703125" customWidth="1"/>
    <col min="773" max="773" width="14.140625" customWidth="1"/>
    <col min="774" max="774" width="13" customWidth="1"/>
    <col min="775" max="775" width="15.28515625" customWidth="1"/>
    <col min="776" max="776" width="13.5703125" customWidth="1"/>
    <col min="777" max="777" width="12.140625" customWidth="1"/>
    <col min="778" max="778" width="15.7109375" customWidth="1"/>
    <col min="779" max="779" width="24.5703125" customWidth="1"/>
    <col min="780" max="781" width="1.7109375" customWidth="1"/>
    <col min="1025" max="1025" width="67" customWidth="1"/>
    <col min="1026" max="1026" width="22.140625" customWidth="1"/>
    <col min="1027" max="1027" width="19.28515625" customWidth="1"/>
    <col min="1028" max="1028" width="16.5703125" customWidth="1"/>
    <col min="1029" max="1029" width="14.140625" customWidth="1"/>
    <col min="1030" max="1030" width="13" customWidth="1"/>
    <col min="1031" max="1031" width="15.28515625" customWidth="1"/>
    <col min="1032" max="1032" width="13.5703125" customWidth="1"/>
    <col min="1033" max="1033" width="12.140625" customWidth="1"/>
    <col min="1034" max="1034" width="15.7109375" customWidth="1"/>
    <col min="1035" max="1035" width="24.5703125" customWidth="1"/>
    <col min="1036" max="1037" width="1.7109375" customWidth="1"/>
    <col min="1281" max="1281" width="67" customWidth="1"/>
    <col min="1282" max="1282" width="22.140625" customWidth="1"/>
    <col min="1283" max="1283" width="19.28515625" customWidth="1"/>
    <col min="1284" max="1284" width="16.5703125" customWidth="1"/>
    <col min="1285" max="1285" width="14.140625" customWidth="1"/>
    <col min="1286" max="1286" width="13" customWidth="1"/>
    <col min="1287" max="1287" width="15.28515625" customWidth="1"/>
    <col min="1288" max="1288" width="13.5703125" customWidth="1"/>
    <col min="1289" max="1289" width="12.140625" customWidth="1"/>
    <col min="1290" max="1290" width="15.7109375" customWidth="1"/>
    <col min="1291" max="1291" width="24.5703125" customWidth="1"/>
    <col min="1292" max="1293" width="1.7109375" customWidth="1"/>
    <col min="1537" max="1537" width="67" customWidth="1"/>
    <col min="1538" max="1538" width="22.140625" customWidth="1"/>
    <col min="1539" max="1539" width="19.28515625" customWidth="1"/>
    <col min="1540" max="1540" width="16.5703125" customWidth="1"/>
    <col min="1541" max="1541" width="14.140625" customWidth="1"/>
    <col min="1542" max="1542" width="13" customWidth="1"/>
    <col min="1543" max="1543" width="15.28515625" customWidth="1"/>
    <col min="1544" max="1544" width="13.5703125" customWidth="1"/>
    <col min="1545" max="1545" width="12.140625" customWidth="1"/>
    <col min="1546" max="1546" width="15.7109375" customWidth="1"/>
    <col min="1547" max="1547" width="24.5703125" customWidth="1"/>
    <col min="1548" max="1549" width="1.7109375" customWidth="1"/>
    <col min="1793" max="1793" width="67" customWidth="1"/>
    <col min="1794" max="1794" width="22.140625" customWidth="1"/>
    <col min="1795" max="1795" width="19.28515625" customWidth="1"/>
    <col min="1796" max="1796" width="16.5703125" customWidth="1"/>
    <col min="1797" max="1797" width="14.140625" customWidth="1"/>
    <col min="1798" max="1798" width="13" customWidth="1"/>
    <col min="1799" max="1799" width="15.28515625" customWidth="1"/>
    <col min="1800" max="1800" width="13.5703125" customWidth="1"/>
    <col min="1801" max="1801" width="12.140625" customWidth="1"/>
    <col min="1802" max="1802" width="15.7109375" customWidth="1"/>
    <col min="1803" max="1803" width="24.5703125" customWidth="1"/>
    <col min="1804" max="1805" width="1.7109375" customWidth="1"/>
    <col min="2049" max="2049" width="67" customWidth="1"/>
    <col min="2050" max="2050" width="22.140625" customWidth="1"/>
    <col min="2051" max="2051" width="19.28515625" customWidth="1"/>
    <col min="2052" max="2052" width="16.5703125" customWidth="1"/>
    <col min="2053" max="2053" width="14.140625" customWidth="1"/>
    <col min="2054" max="2054" width="13" customWidth="1"/>
    <col min="2055" max="2055" width="15.28515625" customWidth="1"/>
    <col min="2056" max="2056" width="13.5703125" customWidth="1"/>
    <col min="2057" max="2057" width="12.140625" customWidth="1"/>
    <col min="2058" max="2058" width="15.7109375" customWidth="1"/>
    <col min="2059" max="2059" width="24.5703125" customWidth="1"/>
    <col min="2060" max="2061" width="1.7109375" customWidth="1"/>
    <col min="2305" max="2305" width="67" customWidth="1"/>
    <col min="2306" max="2306" width="22.140625" customWidth="1"/>
    <col min="2307" max="2307" width="19.28515625" customWidth="1"/>
    <col min="2308" max="2308" width="16.5703125" customWidth="1"/>
    <col min="2309" max="2309" width="14.140625" customWidth="1"/>
    <col min="2310" max="2310" width="13" customWidth="1"/>
    <col min="2311" max="2311" width="15.28515625" customWidth="1"/>
    <col min="2312" max="2312" width="13.5703125" customWidth="1"/>
    <col min="2313" max="2313" width="12.140625" customWidth="1"/>
    <col min="2314" max="2314" width="15.7109375" customWidth="1"/>
    <col min="2315" max="2315" width="24.5703125" customWidth="1"/>
    <col min="2316" max="2317" width="1.7109375" customWidth="1"/>
    <col min="2561" max="2561" width="67" customWidth="1"/>
    <col min="2562" max="2562" width="22.140625" customWidth="1"/>
    <col min="2563" max="2563" width="19.28515625" customWidth="1"/>
    <col min="2564" max="2564" width="16.5703125" customWidth="1"/>
    <col min="2565" max="2565" width="14.140625" customWidth="1"/>
    <col min="2566" max="2566" width="13" customWidth="1"/>
    <col min="2567" max="2567" width="15.28515625" customWidth="1"/>
    <col min="2568" max="2568" width="13.5703125" customWidth="1"/>
    <col min="2569" max="2569" width="12.140625" customWidth="1"/>
    <col min="2570" max="2570" width="15.7109375" customWidth="1"/>
    <col min="2571" max="2571" width="24.5703125" customWidth="1"/>
    <col min="2572" max="2573" width="1.7109375" customWidth="1"/>
    <col min="2817" max="2817" width="67" customWidth="1"/>
    <col min="2818" max="2818" width="22.140625" customWidth="1"/>
    <col min="2819" max="2819" width="19.28515625" customWidth="1"/>
    <col min="2820" max="2820" width="16.5703125" customWidth="1"/>
    <col min="2821" max="2821" width="14.140625" customWidth="1"/>
    <col min="2822" max="2822" width="13" customWidth="1"/>
    <col min="2823" max="2823" width="15.28515625" customWidth="1"/>
    <col min="2824" max="2824" width="13.5703125" customWidth="1"/>
    <col min="2825" max="2825" width="12.140625" customWidth="1"/>
    <col min="2826" max="2826" width="15.7109375" customWidth="1"/>
    <col min="2827" max="2827" width="24.5703125" customWidth="1"/>
    <col min="2828" max="2829" width="1.7109375" customWidth="1"/>
    <col min="3073" max="3073" width="67" customWidth="1"/>
    <col min="3074" max="3074" width="22.140625" customWidth="1"/>
    <col min="3075" max="3075" width="19.28515625" customWidth="1"/>
    <col min="3076" max="3076" width="16.5703125" customWidth="1"/>
    <col min="3077" max="3077" width="14.140625" customWidth="1"/>
    <col min="3078" max="3078" width="13" customWidth="1"/>
    <col min="3079" max="3079" width="15.28515625" customWidth="1"/>
    <col min="3080" max="3080" width="13.5703125" customWidth="1"/>
    <col min="3081" max="3081" width="12.140625" customWidth="1"/>
    <col min="3082" max="3082" width="15.7109375" customWidth="1"/>
    <col min="3083" max="3083" width="24.5703125" customWidth="1"/>
    <col min="3084" max="3085" width="1.7109375" customWidth="1"/>
    <col min="3329" max="3329" width="67" customWidth="1"/>
    <col min="3330" max="3330" width="22.140625" customWidth="1"/>
    <col min="3331" max="3331" width="19.28515625" customWidth="1"/>
    <col min="3332" max="3332" width="16.5703125" customWidth="1"/>
    <col min="3333" max="3333" width="14.140625" customWidth="1"/>
    <col min="3334" max="3334" width="13" customWidth="1"/>
    <col min="3335" max="3335" width="15.28515625" customWidth="1"/>
    <col min="3336" max="3336" width="13.5703125" customWidth="1"/>
    <col min="3337" max="3337" width="12.140625" customWidth="1"/>
    <col min="3338" max="3338" width="15.7109375" customWidth="1"/>
    <col min="3339" max="3339" width="24.5703125" customWidth="1"/>
    <col min="3340" max="3341" width="1.7109375" customWidth="1"/>
    <col min="3585" max="3585" width="67" customWidth="1"/>
    <col min="3586" max="3586" width="22.140625" customWidth="1"/>
    <col min="3587" max="3587" width="19.28515625" customWidth="1"/>
    <col min="3588" max="3588" width="16.5703125" customWidth="1"/>
    <col min="3589" max="3589" width="14.140625" customWidth="1"/>
    <col min="3590" max="3590" width="13" customWidth="1"/>
    <col min="3591" max="3591" width="15.28515625" customWidth="1"/>
    <col min="3592" max="3592" width="13.5703125" customWidth="1"/>
    <col min="3593" max="3593" width="12.140625" customWidth="1"/>
    <col min="3594" max="3594" width="15.7109375" customWidth="1"/>
    <col min="3595" max="3595" width="24.5703125" customWidth="1"/>
    <col min="3596" max="3597" width="1.7109375" customWidth="1"/>
    <col min="3841" max="3841" width="67" customWidth="1"/>
    <col min="3842" max="3842" width="22.140625" customWidth="1"/>
    <col min="3843" max="3843" width="19.28515625" customWidth="1"/>
    <col min="3844" max="3844" width="16.5703125" customWidth="1"/>
    <col min="3845" max="3845" width="14.140625" customWidth="1"/>
    <col min="3846" max="3846" width="13" customWidth="1"/>
    <col min="3847" max="3847" width="15.28515625" customWidth="1"/>
    <col min="3848" max="3848" width="13.5703125" customWidth="1"/>
    <col min="3849" max="3849" width="12.140625" customWidth="1"/>
    <col min="3850" max="3850" width="15.7109375" customWidth="1"/>
    <col min="3851" max="3851" width="24.5703125" customWidth="1"/>
    <col min="3852" max="3853" width="1.7109375" customWidth="1"/>
    <col min="4097" max="4097" width="67" customWidth="1"/>
    <col min="4098" max="4098" width="22.140625" customWidth="1"/>
    <col min="4099" max="4099" width="19.28515625" customWidth="1"/>
    <col min="4100" max="4100" width="16.5703125" customWidth="1"/>
    <col min="4101" max="4101" width="14.140625" customWidth="1"/>
    <col min="4102" max="4102" width="13" customWidth="1"/>
    <col min="4103" max="4103" width="15.28515625" customWidth="1"/>
    <col min="4104" max="4104" width="13.5703125" customWidth="1"/>
    <col min="4105" max="4105" width="12.140625" customWidth="1"/>
    <col min="4106" max="4106" width="15.7109375" customWidth="1"/>
    <col min="4107" max="4107" width="24.5703125" customWidth="1"/>
    <col min="4108" max="4109" width="1.7109375" customWidth="1"/>
    <col min="4353" max="4353" width="67" customWidth="1"/>
    <col min="4354" max="4354" width="22.140625" customWidth="1"/>
    <col min="4355" max="4355" width="19.28515625" customWidth="1"/>
    <col min="4356" max="4356" width="16.5703125" customWidth="1"/>
    <col min="4357" max="4357" width="14.140625" customWidth="1"/>
    <col min="4358" max="4358" width="13" customWidth="1"/>
    <col min="4359" max="4359" width="15.28515625" customWidth="1"/>
    <col min="4360" max="4360" width="13.5703125" customWidth="1"/>
    <col min="4361" max="4361" width="12.140625" customWidth="1"/>
    <col min="4362" max="4362" width="15.7109375" customWidth="1"/>
    <col min="4363" max="4363" width="24.5703125" customWidth="1"/>
    <col min="4364" max="4365" width="1.7109375" customWidth="1"/>
    <col min="4609" max="4609" width="67" customWidth="1"/>
    <col min="4610" max="4610" width="22.140625" customWidth="1"/>
    <col min="4611" max="4611" width="19.28515625" customWidth="1"/>
    <col min="4612" max="4612" width="16.5703125" customWidth="1"/>
    <col min="4613" max="4613" width="14.140625" customWidth="1"/>
    <col min="4614" max="4614" width="13" customWidth="1"/>
    <col min="4615" max="4615" width="15.28515625" customWidth="1"/>
    <col min="4616" max="4616" width="13.5703125" customWidth="1"/>
    <col min="4617" max="4617" width="12.140625" customWidth="1"/>
    <col min="4618" max="4618" width="15.7109375" customWidth="1"/>
    <col min="4619" max="4619" width="24.5703125" customWidth="1"/>
    <col min="4620" max="4621" width="1.7109375" customWidth="1"/>
    <col min="4865" max="4865" width="67" customWidth="1"/>
    <col min="4866" max="4866" width="22.140625" customWidth="1"/>
    <col min="4867" max="4867" width="19.28515625" customWidth="1"/>
    <col min="4868" max="4868" width="16.5703125" customWidth="1"/>
    <col min="4869" max="4869" width="14.140625" customWidth="1"/>
    <col min="4870" max="4870" width="13" customWidth="1"/>
    <col min="4871" max="4871" width="15.28515625" customWidth="1"/>
    <col min="4872" max="4872" width="13.5703125" customWidth="1"/>
    <col min="4873" max="4873" width="12.140625" customWidth="1"/>
    <col min="4874" max="4874" width="15.7109375" customWidth="1"/>
    <col min="4875" max="4875" width="24.5703125" customWidth="1"/>
    <col min="4876" max="4877" width="1.7109375" customWidth="1"/>
    <col min="5121" max="5121" width="67" customWidth="1"/>
    <col min="5122" max="5122" width="22.140625" customWidth="1"/>
    <col min="5123" max="5123" width="19.28515625" customWidth="1"/>
    <col min="5124" max="5124" width="16.5703125" customWidth="1"/>
    <col min="5125" max="5125" width="14.140625" customWidth="1"/>
    <col min="5126" max="5126" width="13" customWidth="1"/>
    <col min="5127" max="5127" width="15.28515625" customWidth="1"/>
    <col min="5128" max="5128" width="13.5703125" customWidth="1"/>
    <col min="5129" max="5129" width="12.140625" customWidth="1"/>
    <col min="5130" max="5130" width="15.7109375" customWidth="1"/>
    <col min="5131" max="5131" width="24.5703125" customWidth="1"/>
    <col min="5132" max="5133" width="1.7109375" customWidth="1"/>
    <col min="5377" max="5377" width="67" customWidth="1"/>
    <col min="5378" max="5378" width="22.140625" customWidth="1"/>
    <col min="5379" max="5379" width="19.28515625" customWidth="1"/>
    <col min="5380" max="5380" width="16.5703125" customWidth="1"/>
    <col min="5381" max="5381" width="14.140625" customWidth="1"/>
    <col min="5382" max="5382" width="13" customWidth="1"/>
    <col min="5383" max="5383" width="15.28515625" customWidth="1"/>
    <col min="5384" max="5384" width="13.5703125" customWidth="1"/>
    <col min="5385" max="5385" width="12.140625" customWidth="1"/>
    <col min="5386" max="5386" width="15.7109375" customWidth="1"/>
    <col min="5387" max="5387" width="24.5703125" customWidth="1"/>
    <col min="5388" max="5389" width="1.7109375" customWidth="1"/>
    <col min="5633" max="5633" width="67" customWidth="1"/>
    <col min="5634" max="5634" width="22.140625" customWidth="1"/>
    <col min="5635" max="5635" width="19.28515625" customWidth="1"/>
    <col min="5636" max="5636" width="16.5703125" customWidth="1"/>
    <col min="5637" max="5637" width="14.140625" customWidth="1"/>
    <col min="5638" max="5638" width="13" customWidth="1"/>
    <col min="5639" max="5639" width="15.28515625" customWidth="1"/>
    <col min="5640" max="5640" width="13.5703125" customWidth="1"/>
    <col min="5641" max="5641" width="12.140625" customWidth="1"/>
    <col min="5642" max="5642" width="15.7109375" customWidth="1"/>
    <col min="5643" max="5643" width="24.5703125" customWidth="1"/>
    <col min="5644" max="5645" width="1.7109375" customWidth="1"/>
    <col min="5889" max="5889" width="67" customWidth="1"/>
    <col min="5890" max="5890" width="22.140625" customWidth="1"/>
    <col min="5891" max="5891" width="19.28515625" customWidth="1"/>
    <col min="5892" max="5892" width="16.5703125" customWidth="1"/>
    <col min="5893" max="5893" width="14.140625" customWidth="1"/>
    <col min="5894" max="5894" width="13" customWidth="1"/>
    <col min="5895" max="5895" width="15.28515625" customWidth="1"/>
    <col min="5896" max="5896" width="13.5703125" customWidth="1"/>
    <col min="5897" max="5897" width="12.140625" customWidth="1"/>
    <col min="5898" max="5898" width="15.7109375" customWidth="1"/>
    <col min="5899" max="5899" width="24.5703125" customWidth="1"/>
    <col min="5900" max="5901" width="1.7109375" customWidth="1"/>
    <col min="6145" max="6145" width="67" customWidth="1"/>
    <col min="6146" max="6146" width="22.140625" customWidth="1"/>
    <col min="6147" max="6147" width="19.28515625" customWidth="1"/>
    <col min="6148" max="6148" width="16.5703125" customWidth="1"/>
    <col min="6149" max="6149" width="14.140625" customWidth="1"/>
    <col min="6150" max="6150" width="13" customWidth="1"/>
    <col min="6151" max="6151" width="15.28515625" customWidth="1"/>
    <col min="6152" max="6152" width="13.5703125" customWidth="1"/>
    <col min="6153" max="6153" width="12.140625" customWidth="1"/>
    <col min="6154" max="6154" width="15.7109375" customWidth="1"/>
    <col min="6155" max="6155" width="24.5703125" customWidth="1"/>
    <col min="6156" max="6157" width="1.7109375" customWidth="1"/>
    <col min="6401" max="6401" width="67" customWidth="1"/>
    <col min="6402" max="6402" width="22.140625" customWidth="1"/>
    <col min="6403" max="6403" width="19.28515625" customWidth="1"/>
    <col min="6404" max="6404" width="16.5703125" customWidth="1"/>
    <col min="6405" max="6405" width="14.140625" customWidth="1"/>
    <col min="6406" max="6406" width="13" customWidth="1"/>
    <col min="6407" max="6407" width="15.28515625" customWidth="1"/>
    <col min="6408" max="6408" width="13.5703125" customWidth="1"/>
    <col min="6409" max="6409" width="12.140625" customWidth="1"/>
    <col min="6410" max="6410" width="15.7109375" customWidth="1"/>
    <col min="6411" max="6411" width="24.5703125" customWidth="1"/>
    <col min="6412" max="6413" width="1.7109375" customWidth="1"/>
    <col min="6657" max="6657" width="67" customWidth="1"/>
    <col min="6658" max="6658" width="22.140625" customWidth="1"/>
    <col min="6659" max="6659" width="19.28515625" customWidth="1"/>
    <col min="6660" max="6660" width="16.5703125" customWidth="1"/>
    <col min="6661" max="6661" width="14.140625" customWidth="1"/>
    <col min="6662" max="6662" width="13" customWidth="1"/>
    <col min="6663" max="6663" width="15.28515625" customWidth="1"/>
    <col min="6664" max="6664" width="13.5703125" customWidth="1"/>
    <col min="6665" max="6665" width="12.140625" customWidth="1"/>
    <col min="6666" max="6666" width="15.7109375" customWidth="1"/>
    <col min="6667" max="6667" width="24.5703125" customWidth="1"/>
    <col min="6668" max="6669" width="1.7109375" customWidth="1"/>
    <col min="6913" max="6913" width="67" customWidth="1"/>
    <col min="6914" max="6914" width="22.140625" customWidth="1"/>
    <col min="6915" max="6915" width="19.28515625" customWidth="1"/>
    <col min="6916" max="6916" width="16.5703125" customWidth="1"/>
    <col min="6917" max="6917" width="14.140625" customWidth="1"/>
    <col min="6918" max="6918" width="13" customWidth="1"/>
    <col min="6919" max="6919" width="15.28515625" customWidth="1"/>
    <col min="6920" max="6920" width="13.5703125" customWidth="1"/>
    <col min="6921" max="6921" width="12.140625" customWidth="1"/>
    <col min="6922" max="6922" width="15.7109375" customWidth="1"/>
    <col min="6923" max="6923" width="24.5703125" customWidth="1"/>
    <col min="6924" max="6925" width="1.7109375" customWidth="1"/>
    <col min="7169" max="7169" width="67" customWidth="1"/>
    <col min="7170" max="7170" width="22.140625" customWidth="1"/>
    <col min="7171" max="7171" width="19.28515625" customWidth="1"/>
    <col min="7172" max="7172" width="16.5703125" customWidth="1"/>
    <col min="7173" max="7173" width="14.140625" customWidth="1"/>
    <col min="7174" max="7174" width="13" customWidth="1"/>
    <col min="7175" max="7175" width="15.28515625" customWidth="1"/>
    <col min="7176" max="7176" width="13.5703125" customWidth="1"/>
    <col min="7177" max="7177" width="12.140625" customWidth="1"/>
    <col min="7178" max="7178" width="15.7109375" customWidth="1"/>
    <col min="7179" max="7179" width="24.5703125" customWidth="1"/>
    <col min="7180" max="7181" width="1.7109375" customWidth="1"/>
    <col min="7425" max="7425" width="67" customWidth="1"/>
    <col min="7426" max="7426" width="22.140625" customWidth="1"/>
    <col min="7427" max="7427" width="19.28515625" customWidth="1"/>
    <col min="7428" max="7428" width="16.5703125" customWidth="1"/>
    <col min="7429" max="7429" width="14.140625" customWidth="1"/>
    <col min="7430" max="7430" width="13" customWidth="1"/>
    <col min="7431" max="7431" width="15.28515625" customWidth="1"/>
    <col min="7432" max="7432" width="13.5703125" customWidth="1"/>
    <col min="7433" max="7433" width="12.140625" customWidth="1"/>
    <col min="7434" max="7434" width="15.7109375" customWidth="1"/>
    <col min="7435" max="7435" width="24.5703125" customWidth="1"/>
    <col min="7436" max="7437" width="1.7109375" customWidth="1"/>
    <col min="7681" max="7681" width="67" customWidth="1"/>
    <col min="7682" max="7682" width="22.140625" customWidth="1"/>
    <col min="7683" max="7683" width="19.28515625" customWidth="1"/>
    <col min="7684" max="7684" width="16.5703125" customWidth="1"/>
    <col min="7685" max="7685" width="14.140625" customWidth="1"/>
    <col min="7686" max="7686" width="13" customWidth="1"/>
    <col min="7687" max="7687" width="15.28515625" customWidth="1"/>
    <col min="7688" max="7688" width="13.5703125" customWidth="1"/>
    <col min="7689" max="7689" width="12.140625" customWidth="1"/>
    <col min="7690" max="7690" width="15.7109375" customWidth="1"/>
    <col min="7691" max="7691" width="24.5703125" customWidth="1"/>
    <col min="7692" max="7693" width="1.7109375" customWidth="1"/>
    <col min="7937" max="7937" width="67" customWidth="1"/>
    <col min="7938" max="7938" width="22.140625" customWidth="1"/>
    <col min="7939" max="7939" width="19.28515625" customWidth="1"/>
    <col min="7940" max="7940" width="16.5703125" customWidth="1"/>
    <col min="7941" max="7941" width="14.140625" customWidth="1"/>
    <col min="7942" max="7942" width="13" customWidth="1"/>
    <col min="7943" max="7943" width="15.28515625" customWidth="1"/>
    <col min="7944" max="7944" width="13.5703125" customWidth="1"/>
    <col min="7945" max="7945" width="12.140625" customWidth="1"/>
    <col min="7946" max="7946" width="15.7109375" customWidth="1"/>
    <col min="7947" max="7947" width="24.5703125" customWidth="1"/>
    <col min="7948" max="7949" width="1.7109375" customWidth="1"/>
    <col min="8193" max="8193" width="67" customWidth="1"/>
    <col min="8194" max="8194" width="22.140625" customWidth="1"/>
    <col min="8195" max="8195" width="19.28515625" customWidth="1"/>
    <col min="8196" max="8196" width="16.5703125" customWidth="1"/>
    <col min="8197" max="8197" width="14.140625" customWidth="1"/>
    <col min="8198" max="8198" width="13" customWidth="1"/>
    <col min="8199" max="8199" width="15.28515625" customWidth="1"/>
    <col min="8200" max="8200" width="13.5703125" customWidth="1"/>
    <col min="8201" max="8201" width="12.140625" customWidth="1"/>
    <col min="8202" max="8202" width="15.7109375" customWidth="1"/>
    <col min="8203" max="8203" width="24.5703125" customWidth="1"/>
    <col min="8204" max="8205" width="1.7109375" customWidth="1"/>
    <col min="8449" max="8449" width="67" customWidth="1"/>
    <col min="8450" max="8450" width="22.140625" customWidth="1"/>
    <col min="8451" max="8451" width="19.28515625" customWidth="1"/>
    <col min="8452" max="8452" width="16.5703125" customWidth="1"/>
    <col min="8453" max="8453" width="14.140625" customWidth="1"/>
    <col min="8454" max="8454" width="13" customWidth="1"/>
    <col min="8455" max="8455" width="15.28515625" customWidth="1"/>
    <col min="8456" max="8456" width="13.5703125" customWidth="1"/>
    <col min="8457" max="8457" width="12.140625" customWidth="1"/>
    <col min="8458" max="8458" width="15.7109375" customWidth="1"/>
    <col min="8459" max="8459" width="24.5703125" customWidth="1"/>
    <col min="8460" max="8461" width="1.7109375" customWidth="1"/>
    <col min="8705" max="8705" width="67" customWidth="1"/>
    <col min="8706" max="8706" width="22.140625" customWidth="1"/>
    <col min="8707" max="8707" width="19.28515625" customWidth="1"/>
    <col min="8708" max="8708" width="16.5703125" customWidth="1"/>
    <col min="8709" max="8709" width="14.140625" customWidth="1"/>
    <col min="8710" max="8710" width="13" customWidth="1"/>
    <col min="8711" max="8711" width="15.28515625" customWidth="1"/>
    <col min="8712" max="8712" width="13.5703125" customWidth="1"/>
    <col min="8713" max="8713" width="12.140625" customWidth="1"/>
    <col min="8714" max="8714" width="15.7109375" customWidth="1"/>
    <col min="8715" max="8715" width="24.5703125" customWidth="1"/>
    <col min="8716" max="8717" width="1.7109375" customWidth="1"/>
    <col min="8961" max="8961" width="67" customWidth="1"/>
    <col min="8962" max="8962" width="22.140625" customWidth="1"/>
    <col min="8963" max="8963" width="19.28515625" customWidth="1"/>
    <col min="8964" max="8964" width="16.5703125" customWidth="1"/>
    <col min="8965" max="8965" width="14.140625" customWidth="1"/>
    <col min="8966" max="8966" width="13" customWidth="1"/>
    <col min="8967" max="8967" width="15.28515625" customWidth="1"/>
    <col min="8968" max="8968" width="13.5703125" customWidth="1"/>
    <col min="8969" max="8969" width="12.140625" customWidth="1"/>
    <col min="8970" max="8970" width="15.7109375" customWidth="1"/>
    <col min="8971" max="8971" width="24.5703125" customWidth="1"/>
    <col min="8972" max="8973" width="1.7109375" customWidth="1"/>
    <col min="9217" max="9217" width="67" customWidth="1"/>
    <col min="9218" max="9218" width="22.140625" customWidth="1"/>
    <col min="9219" max="9219" width="19.28515625" customWidth="1"/>
    <col min="9220" max="9220" width="16.5703125" customWidth="1"/>
    <col min="9221" max="9221" width="14.140625" customWidth="1"/>
    <col min="9222" max="9222" width="13" customWidth="1"/>
    <col min="9223" max="9223" width="15.28515625" customWidth="1"/>
    <col min="9224" max="9224" width="13.5703125" customWidth="1"/>
    <col min="9225" max="9225" width="12.140625" customWidth="1"/>
    <col min="9226" max="9226" width="15.7109375" customWidth="1"/>
    <col min="9227" max="9227" width="24.5703125" customWidth="1"/>
    <col min="9228" max="9229" width="1.7109375" customWidth="1"/>
    <col min="9473" max="9473" width="67" customWidth="1"/>
    <col min="9474" max="9474" width="22.140625" customWidth="1"/>
    <col min="9475" max="9475" width="19.28515625" customWidth="1"/>
    <col min="9476" max="9476" width="16.5703125" customWidth="1"/>
    <col min="9477" max="9477" width="14.140625" customWidth="1"/>
    <col min="9478" max="9478" width="13" customWidth="1"/>
    <col min="9479" max="9479" width="15.28515625" customWidth="1"/>
    <col min="9480" max="9480" width="13.5703125" customWidth="1"/>
    <col min="9481" max="9481" width="12.140625" customWidth="1"/>
    <col min="9482" max="9482" width="15.7109375" customWidth="1"/>
    <col min="9483" max="9483" width="24.5703125" customWidth="1"/>
    <col min="9484" max="9485" width="1.7109375" customWidth="1"/>
    <col min="9729" max="9729" width="67" customWidth="1"/>
    <col min="9730" max="9730" width="22.140625" customWidth="1"/>
    <col min="9731" max="9731" width="19.28515625" customWidth="1"/>
    <col min="9732" max="9732" width="16.5703125" customWidth="1"/>
    <col min="9733" max="9733" width="14.140625" customWidth="1"/>
    <col min="9734" max="9734" width="13" customWidth="1"/>
    <col min="9735" max="9735" width="15.28515625" customWidth="1"/>
    <col min="9736" max="9736" width="13.5703125" customWidth="1"/>
    <col min="9737" max="9737" width="12.140625" customWidth="1"/>
    <col min="9738" max="9738" width="15.7109375" customWidth="1"/>
    <col min="9739" max="9739" width="24.5703125" customWidth="1"/>
    <col min="9740" max="9741" width="1.7109375" customWidth="1"/>
    <col min="9985" max="9985" width="67" customWidth="1"/>
    <col min="9986" max="9986" width="22.140625" customWidth="1"/>
    <col min="9987" max="9987" width="19.28515625" customWidth="1"/>
    <col min="9988" max="9988" width="16.5703125" customWidth="1"/>
    <col min="9989" max="9989" width="14.140625" customWidth="1"/>
    <col min="9990" max="9990" width="13" customWidth="1"/>
    <col min="9991" max="9991" width="15.28515625" customWidth="1"/>
    <col min="9992" max="9992" width="13.5703125" customWidth="1"/>
    <col min="9993" max="9993" width="12.140625" customWidth="1"/>
    <col min="9994" max="9994" width="15.7109375" customWidth="1"/>
    <col min="9995" max="9995" width="24.5703125" customWidth="1"/>
    <col min="9996" max="9997" width="1.7109375" customWidth="1"/>
    <col min="10241" max="10241" width="67" customWidth="1"/>
    <col min="10242" max="10242" width="22.140625" customWidth="1"/>
    <col min="10243" max="10243" width="19.28515625" customWidth="1"/>
    <col min="10244" max="10244" width="16.5703125" customWidth="1"/>
    <col min="10245" max="10245" width="14.140625" customWidth="1"/>
    <col min="10246" max="10246" width="13" customWidth="1"/>
    <col min="10247" max="10247" width="15.28515625" customWidth="1"/>
    <col min="10248" max="10248" width="13.5703125" customWidth="1"/>
    <col min="10249" max="10249" width="12.140625" customWidth="1"/>
    <col min="10250" max="10250" width="15.7109375" customWidth="1"/>
    <col min="10251" max="10251" width="24.5703125" customWidth="1"/>
    <col min="10252" max="10253" width="1.7109375" customWidth="1"/>
    <col min="10497" max="10497" width="67" customWidth="1"/>
    <col min="10498" max="10498" width="22.140625" customWidth="1"/>
    <col min="10499" max="10499" width="19.28515625" customWidth="1"/>
    <col min="10500" max="10500" width="16.5703125" customWidth="1"/>
    <col min="10501" max="10501" width="14.140625" customWidth="1"/>
    <col min="10502" max="10502" width="13" customWidth="1"/>
    <col min="10503" max="10503" width="15.28515625" customWidth="1"/>
    <col min="10504" max="10504" width="13.5703125" customWidth="1"/>
    <col min="10505" max="10505" width="12.140625" customWidth="1"/>
    <col min="10506" max="10506" width="15.7109375" customWidth="1"/>
    <col min="10507" max="10507" width="24.5703125" customWidth="1"/>
    <col min="10508" max="10509" width="1.7109375" customWidth="1"/>
    <col min="10753" max="10753" width="67" customWidth="1"/>
    <col min="10754" max="10754" width="22.140625" customWidth="1"/>
    <col min="10755" max="10755" width="19.28515625" customWidth="1"/>
    <col min="10756" max="10756" width="16.5703125" customWidth="1"/>
    <col min="10757" max="10757" width="14.140625" customWidth="1"/>
    <col min="10758" max="10758" width="13" customWidth="1"/>
    <col min="10759" max="10759" width="15.28515625" customWidth="1"/>
    <col min="10760" max="10760" width="13.5703125" customWidth="1"/>
    <col min="10761" max="10761" width="12.140625" customWidth="1"/>
    <col min="10762" max="10762" width="15.7109375" customWidth="1"/>
    <col min="10763" max="10763" width="24.5703125" customWidth="1"/>
    <col min="10764" max="10765" width="1.7109375" customWidth="1"/>
    <col min="11009" max="11009" width="67" customWidth="1"/>
    <col min="11010" max="11010" width="22.140625" customWidth="1"/>
    <col min="11011" max="11011" width="19.28515625" customWidth="1"/>
    <col min="11012" max="11012" width="16.5703125" customWidth="1"/>
    <col min="11013" max="11013" width="14.140625" customWidth="1"/>
    <col min="11014" max="11014" width="13" customWidth="1"/>
    <col min="11015" max="11015" width="15.28515625" customWidth="1"/>
    <col min="11016" max="11016" width="13.5703125" customWidth="1"/>
    <col min="11017" max="11017" width="12.140625" customWidth="1"/>
    <col min="11018" max="11018" width="15.7109375" customWidth="1"/>
    <col min="11019" max="11019" width="24.5703125" customWidth="1"/>
    <col min="11020" max="11021" width="1.7109375" customWidth="1"/>
    <col min="11265" max="11265" width="67" customWidth="1"/>
    <col min="11266" max="11266" width="22.140625" customWidth="1"/>
    <col min="11267" max="11267" width="19.28515625" customWidth="1"/>
    <col min="11268" max="11268" width="16.5703125" customWidth="1"/>
    <col min="11269" max="11269" width="14.140625" customWidth="1"/>
    <col min="11270" max="11270" width="13" customWidth="1"/>
    <col min="11271" max="11271" width="15.28515625" customWidth="1"/>
    <col min="11272" max="11272" width="13.5703125" customWidth="1"/>
    <col min="11273" max="11273" width="12.140625" customWidth="1"/>
    <col min="11274" max="11274" width="15.7109375" customWidth="1"/>
    <col min="11275" max="11275" width="24.5703125" customWidth="1"/>
    <col min="11276" max="11277" width="1.7109375" customWidth="1"/>
    <col min="11521" max="11521" width="67" customWidth="1"/>
    <col min="11522" max="11522" width="22.140625" customWidth="1"/>
    <col min="11523" max="11523" width="19.28515625" customWidth="1"/>
    <col min="11524" max="11524" width="16.5703125" customWidth="1"/>
    <col min="11525" max="11525" width="14.140625" customWidth="1"/>
    <col min="11526" max="11526" width="13" customWidth="1"/>
    <col min="11527" max="11527" width="15.28515625" customWidth="1"/>
    <col min="11528" max="11528" width="13.5703125" customWidth="1"/>
    <col min="11529" max="11529" width="12.140625" customWidth="1"/>
    <col min="11530" max="11530" width="15.7109375" customWidth="1"/>
    <col min="11531" max="11531" width="24.5703125" customWidth="1"/>
    <col min="11532" max="11533" width="1.7109375" customWidth="1"/>
    <col min="11777" max="11777" width="67" customWidth="1"/>
    <col min="11778" max="11778" width="22.140625" customWidth="1"/>
    <col min="11779" max="11779" width="19.28515625" customWidth="1"/>
    <col min="11780" max="11780" width="16.5703125" customWidth="1"/>
    <col min="11781" max="11781" width="14.140625" customWidth="1"/>
    <col min="11782" max="11782" width="13" customWidth="1"/>
    <col min="11783" max="11783" width="15.28515625" customWidth="1"/>
    <col min="11784" max="11784" width="13.5703125" customWidth="1"/>
    <col min="11785" max="11785" width="12.140625" customWidth="1"/>
    <col min="11786" max="11786" width="15.7109375" customWidth="1"/>
    <col min="11787" max="11787" width="24.5703125" customWidth="1"/>
    <col min="11788" max="11789" width="1.7109375" customWidth="1"/>
    <col min="12033" max="12033" width="67" customWidth="1"/>
    <col min="12034" max="12034" width="22.140625" customWidth="1"/>
    <col min="12035" max="12035" width="19.28515625" customWidth="1"/>
    <col min="12036" max="12036" width="16.5703125" customWidth="1"/>
    <col min="12037" max="12037" width="14.140625" customWidth="1"/>
    <col min="12038" max="12038" width="13" customWidth="1"/>
    <col min="12039" max="12039" width="15.28515625" customWidth="1"/>
    <col min="12040" max="12040" width="13.5703125" customWidth="1"/>
    <col min="12041" max="12041" width="12.140625" customWidth="1"/>
    <col min="12042" max="12042" width="15.7109375" customWidth="1"/>
    <col min="12043" max="12043" width="24.5703125" customWidth="1"/>
    <col min="12044" max="12045" width="1.7109375" customWidth="1"/>
    <col min="12289" max="12289" width="67" customWidth="1"/>
    <col min="12290" max="12290" width="22.140625" customWidth="1"/>
    <col min="12291" max="12291" width="19.28515625" customWidth="1"/>
    <col min="12292" max="12292" width="16.5703125" customWidth="1"/>
    <col min="12293" max="12293" width="14.140625" customWidth="1"/>
    <col min="12294" max="12294" width="13" customWidth="1"/>
    <col min="12295" max="12295" width="15.28515625" customWidth="1"/>
    <col min="12296" max="12296" width="13.5703125" customWidth="1"/>
    <col min="12297" max="12297" width="12.140625" customWidth="1"/>
    <col min="12298" max="12298" width="15.7109375" customWidth="1"/>
    <col min="12299" max="12299" width="24.5703125" customWidth="1"/>
    <col min="12300" max="12301" width="1.7109375" customWidth="1"/>
    <col min="12545" max="12545" width="67" customWidth="1"/>
    <col min="12546" max="12546" width="22.140625" customWidth="1"/>
    <col min="12547" max="12547" width="19.28515625" customWidth="1"/>
    <col min="12548" max="12548" width="16.5703125" customWidth="1"/>
    <col min="12549" max="12549" width="14.140625" customWidth="1"/>
    <col min="12550" max="12550" width="13" customWidth="1"/>
    <col min="12551" max="12551" width="15.28515625" customWidth="1"/>
    <col min="12552" max="12552" width="13.5703125" customWidth="1"/>
    <col min="12553" max="12553" width="12.140625" customWidth="1"/>
    <col min="12554" max="12554" width="15.7109375" customWidth="1"/>
    <col min="12555" max="12555" width="24.5703125" customWidth="1"/>
    <col min="12556" max="12557" width="1.7109375" customWidth="1"/>
    <col min="12801" max="12801" width="67" customWidth="1"/>
    <col min="12802" max="12802" width="22.140625" customWidth="1"/>
    <col min="12803" max="12803" width="19.28515625" customWidth="1"/>
    <col min="12804" max="12804" width="16.5703125" customWidth="1"/>
    <col min="12805" max="12805" width="14.140625" customWidth="1"/>
    <col min="12806" max="12806" width="13" customWidth="1"/>
    <col min="12807" max="12807" width="15.28515625" customWidth="1"/>
    <col min="12808" max="12808" width="13.5703125" customWidth="1"/>
    <col min="12809" max="12809" width="12.140625" customWidth="1"/>
    <col min="12810" max="12810" width="15.7109375" customWidth="1"/>
    <col min="12811" max="12811" width="24.5703125" customWidth="1"/>
    <col min="12812" max="12813" width="1.7109375" customWidth="1"/>
    <col min="13057" max="13057" width="67" customWidth="1"/>
    <col min="13058" max="13058" width="22.140625" customWidth="1"/>
    <col min="13059" max="13059" width="19.28515625" customWidth="1"/>
    <col min="13060" max="13060" width="16.5703125" customWidth="1"/>
    <col min="13061" max="13061" width="14.140625" customWidth="1"/>
    <col min="13062" max="13062" width="13" customWidth="1"/>
    <col min="13063" max="13063" width="15.28515625" customWidth="1"/>
    <col min="13064" max="13064" width="13.5703125" customWidth="1"/>
    <col min="13065" max="13065" width="12.140625" customWidth="1"/>
    <col min="13066" max="13066" width="15.7109375" customWidth="1"/>
    <col min="13067" max="13067" width="24.5703125" customWidth="1"/>
    <col min="13068" max="13069" width="1.7109375" customWidth="1"/>
    <col min="13313" max="13313" width="67" customWidth="1"/>
    <col min="13314" max="13314" width="22.140625" customWidth="1"/>
    <col min="13315" max="13315" width="19.28515625" customWidth="1"/>
    <col min="13316" max="13316" width="16.5703125" customWidth="1"/>
    <col min="13317" max="13317" width="14.140625" customWidth="1"/>
    <col min="13318" max="13318" width="13" customWidth="1"/>
    <col min="13319" max="13319" width="15.28515625" customWidth="1"/>
    <col min="13320" max="13320" width="13.5703125" customWidth="1"/>
    <col min="13321" max="13321" width="12.140625" customWidth="1"/>
    <col min="13322" max="13322" width="15.7109375" customWidth="1"/>
    <col min="13323" max="13323" width="24.5703125" customWidth="1"/>
    <col min="13324" max="13325" width="1.7109375" customWidth="1"/>
    <col min="13569" max="13569" width="67" customWidth="1"/>
    <col min="13570" max="13570" width="22.140625" customWidth="1"/>
    <col min="13571" max="13571" width="19.28515625" customWidth="1"/>
    <col min="13572" max="13572" width="16.5703125" customWidth="1"/>
    <col min="13573" max="13573" width="14.140625" customWidth="1"/>
    <col min="13574" max="13574" width="13" customWidth="1"/>
    <col min="13575" max="13575" width="15.28515625" customWidth="1"/>
    <col min="13576" max="13576" width="13.5703125" customWidth="1"/>
    <col min="13577" max="13577" width="12.140625" customWidth="1"/>
    <col min="13578" max="13578" width="15.7109375" customWidth="1"/>
    <col min="13579" max="13579" width="24.5703125" customWidth="1"/>
    <col min="13580" max="13581" width="1.7109375" customWidth="1"/>
    <col min="13825" max="13825" width="67" customWidth="1"/>
    <col min="13826" max="13826" width="22.140625" customWidth="1"/>
    <col min="13827" max="13827" width="19.28515625" customWidth="1"/>
    <col min="13828" max="13828" width="16.5703125" customWidth="1"/>
    <col min="13829" max="13829" width="14.140625" customWidth="1"/>
    <col min="13830" max="13830" width="13" customWidth="1"/>
    <col min="13831" max="13831" width="15.28515625" customWidth="1"/>
    <col min="13832" max="13832" width="13.5703125" customWidth="1"/>
    <col min="13833" max="13833" width="12.140625" customWidth="1"/>
    <col min="13834" max="13834" width="15.7109375" customWidth="1"/>
    <col min="13835" max="13835" width="24.5703125" customWidth="1"/>
    <col min="13836" max="13837" width="1.7109375" customWidth="1"/>
    <col min="14081" max="14081" width="67" customWidth="1"/>
    <col min="14082" max="14082" width="22.140625" customWidth="1"/>
    <col min="14083" max="14083" width="19.28515625" customWidth="1"/>
    <col min="14084" max="14084" width="16.5703125" customWidth="1"/>
    <col min="14085" max="14085" width="14.140625" customWidth="1"/>
    <col min="14086" max="14086" width="13" customWidth="1"/>
    <col min="14087" max="14087" width="15.28515625" customWidth="1"/>
    <col min="14088" max="14088" width="13.5703125" customWidth="1"/>
    <col min="14089" max="14089" width="12.140625" customWidth="1"/>
    <col min="14090" max="14090" width="15.7109375" customWidth="1"/>
    <col min="14091" max="14091" width="24.5703125" customWidth="1"/>
    <col min="14092" max="14093" width="1.7109375" customWidth="1"/>
    <col min="14337" max="14337" width="67" customWidth="1"/>
    <col min="14338" max="14338" width="22.140625" customWidth="1"/>
    <col min="14339" max="14339" width="19.28515625" customWidth="1"/>
    <col min="14340" max="14340" width="16.5703125" customWidth="1"/>
    <col min="14341" max="14341" width="14.140625" customWidth="1"/>
    <col min="14342" max="14342" width="13" customWidth="1"/>
    <col min="14343" max="14343" width="15.28515625" customWidth="1"/>
    <col min="14344" max="14344" width="13.5703125" customWidth="1"/>
    <col min="14345" max="14345" width="12.140625" customWidth="1"/>
    <col min="14346" max="14346" width="15.7109375" customWidth="1"/>
    <col min="14347" max="14347" width="24.5703125" customWidth="1"/>
    <col min="14348" max="14349" width="1.7109375" customWidth="1"/>
    <col min="14593" max="14593" width="67" customWidth="1"/>
    <col min="14594" max="14594" width="22.140625" customWidth="1"/>
    <col min="14595" max="14595" width="19.28515625" customWidth="1"/>
    <col min="14596" max="14596" width="16.5703125" customWidth="1"/>
    <col min="14597" max="14597" width="14.140625" customWidth="1"/>
    <col min="14598" max="14598" width="13" customWidth="1"/>
    <col min="14599" max="14599" width="15.28515625" customWidth="1"/>
    <col min="14600" max="14600" width="13.5703125" customWidth="1"/>
    <col min="14601" max="14601" width="12.140625" customWidth="1"/>
    <col min="14602" max="14602" width="15.7109375" customWidth="1"/>
    <col min="14603" max="14603" width="24.5703125" customWidth="1"/>
    <col min="14604" max="14605" width="1.7109375" customWidth="1"/>
    <col min="14849" max="14849" width="67" customWidth="1"/>
    <col min="14850" max="14850" width="22.140625" customWidth="1"/>
    <col min="14851" max="14851" width="19.28515625" customWidth="1"/>
    <col min="14852" max="14852" width="16.5703125" customWidth="1"/>
    <col min="14853" max="14853" width="14.140625" customWidth="1"/>
    <col min="14854" max="14854" width="13" customWidth="1"/>
    <col min="14855" max="14855" width="15.28515625" customWidth="1"/>
    <col min="14856" max="14856" width="13.5703125" customWidth="1"/>
    <col min="14857" max="14857" width="12.140625" customWidth="1"/>
    <col min="14858" max="14858" width="15.7109375" customWidth="1"/>
    <col min="14859" max="14859" width="24.5703125" customWidth="1"/>
    <col min="14860" max="14861" width="1.7109375" customWidth="1"/>
    <col min="15105" max="15105" width="67" customWidth="1"/>
    <col min="15106" max="15106" width="22.140625" customWidth="1"/>
    <col min="15107" max="15107" width="19.28515625" customWidth="1"/>
    <col min="15108" max="15108" width="16.5703125" customWidth="1"/>
    <col min="15109" max="15109" width="14.140625" customWidth="1"/>
    <col min="15110" max="15110" width="13" customWidth="1"/>
    <col min="15111" max="15111" width="15.28515625" customWidth="1"/>
    <col min="15112" max="15112" width="13.5703125" customWidth="1"/>
    <col min="15113" max="15113" width="12.140625" customWidth="1"/>
    <col min="15114" max="15114" width="15.7109375" customWidth="1"/>
    <col min="15115" max="15115" width="24.5703125" customWidth="1"/>
    <col min="15116" max="15117" width="1.7109375" customWidth="1"/>
    <col min="15361" max="15361" width="67" customWidth="1"/>
    <col min="15362" max="15362" width="22.140625" customWidth="1"/>
    <col min="15363" max="15363" width="19.28515625" customWidth="1"/>
    <col min="15364" max="15364" width="16.5703125" customWidth="1"/>
    <col min="15365" max="15365" width="14.140625" customWidth="1"/>
    <col min="15366" max="15366" width="13" customWidth="1"/>
    <col min="15367" max="15367" width="15.28515625" customWidth="1"/>
    <col min="15368" max="15368" width="13.5703125" customWidth="1"/>
    <col min="15369" max="15369" width="12.140625" customWidth="1"/>
    <col min="15370" max="15370" width="15.7109375" customWidth="1"/>
    <col min="15371" max="15371" width="24.5703125" customWidth="1"/>
    <col min="15372" max="15373" width="1.7109375" customWidth="1"/>
    <col min="15617" max="15617" width="67" customWidth="1"/>
    <col min="15618" max="15618" width="22.140625" customWidth="1"/>
    <col min="15619" max="15619" width="19.28515625" customWidth="1"/>
    <col min="15620" max="15620" width="16.5703125" customWidth="1"/>
    <col min="15621" max="15621" width="14.140625" customWidth="1"/>
    <col min="15622" max="15622" width="13" customWidth="1"/>
    <col min="15623" max="15623" width="15.28515625" customWidth="1"/>
    <col min="15624" max="15624" width="13.5703125" customWidth="1"/>
    <col min="15625" max="15625" width="12.140625" customWidth="1"/>
    <col min="15626" max="15626" width="15.7109375" customWidth="1"/>
    <col min="15627" max="15627" width="24.5703125" customWidth="1"/>
    <col min="15628" max="15629" width="1.7109375" customWidth="1"/>
    <col min="15873" max="15873" width="67" customWidth="1"/>
    <col min="15874" max="15874" width="22.140625" customWidth="1"/>
    <col min="15875" max="15875" width="19.28515625" customWidth="1"/>
    <col min="15876" max="15876" width="16.5703125" customWidth="1"/>
    <col min="15877" max="15877" width="14.140625" customWidth="1"/>
    <col min="15878" max="15878" width="13" customWidth="1"/>
    <col min="15879" max="15879" width="15.28515625" customWidth="1"/>
    <col min="15880" max="15880" width="13.5703125" customWidth="1"/>
    <col min="15881" max="15881" width="12.140625" customWidth="1"/>
    <col min="15882" max="15882" width="15.7109375" customWidth="1"/>
    <col min="15883" max="15883" width="24.5703125" customWidth="1"/>
    <col min="15884" max="15885" width="1.7109375" customWidth="1"/>
    <col min="16129" max="16129" width="67" customWidth="1"/>
    <col min="16130" max="16130" width="22.140625" customWidth="1"/>
    <col min="16131" max="16131" width="19.28515625" customWidth="1"/>
    <col min="16132" max="16132" width="16.5703125" customWidth="1"/>
    <col min="16133" max="16133" width="14.140625" customWidth="1"/>
    <col min="16134" max="16134" width="13" customWidth="1"/>
    <col min="16135" max="16135" width="15.28515625" customWidth="1"/>
    <col min="16136" max="16136" width="13.5703125" customWidth="1"/>
    <col min="16137" max="16137" width="12.140625" customWidth="1"/>
    <col min="16138" max="16138" width="15.7109375" customWidth="1"/>
    <col min="16139" max="16139" width="24.5703125" customWidth="1"/>
    <col min="16140" max="16141" width="1.7109375" customWidth="1"/>
  </cols>
  <sheetData>
    <row r="1" spans="1:11" s="177" customFormat="1" ht="21" customHeight="1">
      <c r="A1" s="175" t="s">
        <v>235</v>
      </c>
      <c r="B1" s="176"/>
    </row>
    <row r="2" spans="1:11" s="177" customFormat="1" ht="19.5" customHeight="1">
      <c r="A2" s="178" t="s">
        <v>1052</v>
      </c>
      <c r="B2" s="176"/>
      <c r="C2" s="179"/>
      <c r="D2" s="179"/>
      <c r="E2" s="179"/>
      <c r="F2" s="179"/>
      <c r="G2" s="179"/>
      <c r="H2" s="179"/>
      <c r="I2" s="179"/>
      <c r="J2" s="179"/>
      <c r="K2" s="180" t="s">
        <v>234</v>
      </c>
    </row>
    <row r="3" spans="1:11" s="177" customFormat="1" ht="22.5" customHeight="1">
      <c r="A3" s="181" t="s">
        <v>238</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c r="A6" s="182" t="s">
        <v>228</v>
      </c>
      <c r="B6" s="182" t="s">
        <v>227</v>
      </c>
      <c r="C6" s="182" t="s">
        <v>226</v>
      </c>
      <c r="D6" s="182"/>
      <c r="E6" s="183" t="s">
        <v>225</v>
      </c>
      <c r="F6" s="183"/>
      <c r="G6" s="182" t="s">
        <v>224</v>
      </c>
      <c r="H6" s="1381" t="s">
        <v>223</v>
      </c>
      <c r="I6" s="1381"/>
      <c r="J6" s="182" t="s">
        <v>222</v>
      </c>
      <c r="K6" s="182" t="s">
        <v>221</v>
      </c>
    </row>
    <row r="7" spans="1:11" s="186" customFormat="1">
      <c r="A7" s="1382" t="s">
        <v>220</v>
      </c>
      <c r="B7" s="1379" t="s">
        <v>219</v>
      </c>
      <c r="C7" s="1379" t="s">
        <v>218</v>
      </c>
      <c r="D7" s="1379" t="s">
        <v>217</v>
      </c>
      <c r="E7" s="1379" t="s">
        <v>216</v>
      </c>
      <c r="F7" s="1379"/>
      <c r="G7" s="1379" t="s">
        <v>215</v>
      </c>
      <c r="H7" s="1379" t="s">
        <v>214</v>
      </c>
      <c r="I7" s="1379"/>
      <c r="J7" s="1379" t="s">
        <v>240</v>
      </c>
      <c r="K7" s="1380" t="s">
        <v>212</v>
      </c>
    </row>
    <row r="8" spans="1:11" s="186" customFormat="1">
      <c r="A8" s="1382"/>
      <c r="B8" s="1379"/>
      <c r="C8" s="1379"/>
      <c r="D8" s="1379"/>
      <c r="E8" s="187" t="s">
        <v>211</v>
      </c>
      <c r="F8" s="187" t="s">
        <v>210</v>
      </c>
      <c r="G8" s="1379"/>
      <c r="H8" s="187" t="s">
        <v>211</v>
      </c>
      <c r="I8" s="187" t="s">
        <v>210</v>
      </c>
      <c r="J8" s="1379"/>
      <c r="K8" s="1380"/>
    </row>
    <row r="9" spans="1:11" ht="15.95" customHeight="1">
      <c r="A9" s="188" t="s">
        <v>208</v>
      </c>
      <c r="B9" s="189"/>
      <c r="C9" s="189"/>
      <c r="D9" s="189"/>
      <c r="E9" s="189"/>
      <c r="F9" s="189"/>
      <c r="G9" s="189"/>
      <c r="H9" s="189"/>
      <c r="I9" s="189"/>
      <c r="J9" s="189"/>
      <c r="K9" s="190">
        <f>SUM(K10)</f>
        <v>0</v>
      </c>
    </row>
    <row r="10" spans="1:11" ht="19.5" customHeight="1">
      <c r="A10" s="192"/>
      <c r="B10" s="193"/>
      <c r="C10" s="193"/>
      <c r="D10" s="194"/>
      <c r="E10" s="194"/>
      <c r="F10" s="194"/>
      <c r="G10" s="193"/>
      <c r="H10" s="193"/>
      <c r="I10" s="193"/>
      <c r="J10" s="193"/>
      <c r="K10" s="195"/>
    </row>
    <row r="11" spans="1:11" ht="15.95" customHeight="1">
      <c r="A11" s="188" t="s">
        <v>207</v>
      </c>
      <c r="B11" s="189"/>
      <c r="C11" s="189"/>
      <c r="D11" s="196"/>
      <c r="E11" s="196"/>
      <c r="F11" s="196"/>
      <c r="G11" s="189"/>
      <c r="H11" s="189"/>
      <c r="I11" s="189"/>
      <c r="J11" s="189"/>
      <c r="K11" s="190">
        <f>SUM(K12:K29)</f>
        <v>158765570.28000006</v>
      </c>
    </row>
    <row r="12" spans="1:11" ht="15.95" customHeight="1">
      <c r="A12" s="192" t="s">
        <v>1053</v>
      </c>
      <c r="B12" s="263" t="s">
        <v>1054</v>
      </c>
      <c r="C12" s="263" t="s">
        <v>109</v>
      </c>
      <c r="D12" s="298">
        <v>1.6E-2</v>
      </c>
      <c r="E12" s="298">
        <v>7.0000000000000001E-3</v>
      </c>
      <c r="F12" s="298">
        <v>0.08</v>
      </c>
      <c r="G12" s="704"/>
      <c r="H12" s="704"/>
      <c r="I12" s="704"/>
      <c r="J12" s="193" t="s">
        <v>1055</v>
      </c>
      <c r="K12" s="195">
        <v>59703684.780000001</v>
      </c>
    </row>
    <row r="13" spans="1:11" ht="15.95" customHeight="1">
      <c r="A13" s="192" t="s">
        <v>1056</v>
      </c>
      <c r="B13" s="301" t="s">
        <v>1057</v>
      </c>
      <c r="C13" s="263" t="s">
        <v>109</v>
      </c>
      <c r="D13" s="298"/>
      <c r="E13" s="298"/>
      <c r="F13" s="298"/>
      <c r="G13" s="704"/>
      <c r="H13" s="704">
        <v>211</v>
      </c>
      <c r="I13" s="704">
        <v>1351</v>
      </c>
      <c r="J13" s="193" t="s">
        <v>1055</v>
      </c>
      <c r="K13" s="195">
        <v>20680664.670000002</v>
      </c>
    </row>
    <row r="14" spans="1:11" ht="15.95" customHeight="1">
      <c r="A14" s="192" t="s">
        <v>756</v>
      </c>
      <c r="B14" s="263"/>
      <c r="C14" s="263" t="s">
        <v>109</v>
      </c>
      <c r="D14" s="298"/>
      <c r="E14" s="298">
        <v>0.15</v>
      </c>
      <c r="F14" s="298">
        <v>0.16</v>
      </c>
      <c r="G14" s="704"/>
      <c r="H14" s="704"/>
      <c r="I14" s="704"/>
      <c r="J14" s="193" t="s">
        <v>1055</v>
      </c>
      <c r="K14" s="195">
        <v>19387604.32</v>
      </c>
    </row>
    <row r="15" spans="1:11" ht="15.95" customHeight="1">
      <c r="A15" s="192" t="s">
        <v>1058</v>
      </c>
      <c r="B15" s="263" t="s">
        <v>1059</v>
      </c>
      <c r="C15" s="263" t="s">
        <v>109</v>
      </c>
      <c r="D15" s="298">
        <v>0.08</v>
      </c>
      <c r="E15" s="298"/>
      <c r="F15" s="298"/>
      <c r="G15" s="704"/>
      <c r="H15" s="704"/>
      <c r="I15" s="704"/>
      <c r="J15" s="193" t="s">
        <v>1055</v>
      </c>
      <c r="K15" s="195">
        <v>15969426.82</v>
      </c>
    </row>
    <row r="16" spans="1:11" ht="15.95" customHeight="1">
      <c r="A16" s="192" t="s">
        <v>1060</v>
      </c>
      <c r="B16" s="263" t="s">
        <v>1054</v>
      </c>
      <c r="C16" s="263" t="s">
        <v>109</v>
      </c>
      <c r="D16" s="298"/>
      <c r="E16" s="298"/>
      <c r="F16" s="298"/>
      <c r="G16" s="704"/>
      <c r="H16" s="704">
        <v>157</v>
      </c>
      <c r="I16" s="704">
        <v>318</v>
      </c>
      <c r="J16" s="193" t="s">
        <v>1055</v>
      </c>
      <c r="K16" s="195">
        <v>11672925.4</v>
      </c>
    </row>
    <row r="17" spans="1:11" ht="15.95" customHeight="1">
      <c r="A17" s="192" t="s">
        <v>1061</v>
      </c>
      <c r="B17" s="263" t="s">
        <v>1054</v>
      </c>
      <c r="C17" s="263" t="s">
        <v>109</v>
      </c>
      <c r="D17" s="298">
        <v>0.1</v>
      </c>
      <c r="E17" s="298"/>
      <c r="F17" s="298"/>
      <c r="G17" s="704"/>
      <c r="H17" s="704"/>
      <c r="I17" s="704"/>
      <c r="J17" s="193" t="s">
        <v>1055</v>
      </c>
      <c r="K17" s="195">
        <v>10318920.300000001</v>
      </c>
    </row>
    <row r="18" spans="1:11" ht="15.95" customHeight="1">
      <c r="A18" s="192" t="s">
        <v>1062</v>
      </c>
      <c r="B18" s="263"/>
      <c r="C18" s="263" t="s">
        <v>109</v>
      </c>
      <c r="D18" s="298"/>
      <c r="E18" s="298"/>
      <c r="F18" s="298"/>
      <c r="G18" s="704"/>
      <c r="H18" s="704"/>
      <c r="I18" s="704"/>
      <c r="J18" s="193" t="s">
        <v>1055</v>
      </c>
      <c r="K18" s="195">
        <v>9920241.3399999999</v>
      </c>
    </row>
    <row r="19" spans="1:11" ht="15.95" customHeight="1">
      <c r="A19" s="192" t="s">
        <v>347</v>
      </c>
      <c r="B19" s="263" t="s">
        <v>1063</v>
      </c>
      <c r="C19" s="263" t="s">
        <v>109</v>
      </c>
      <c r="D19" s="298"/>
      <c r="E19" s="298">
        <v>4.0000000000000001E-3</v>
      </c>
      <c r="F19" s="298">
        <v>1.0500000000000001E-2</v>
      </c>
      <c r="G19" s="704"/>
      <c r="H19" s="704"/>
      <c r="I19" s="704"/>
      <c r="J19" s="193" t="s">
        <v>1055</v>
      </c>
      <c r="K19" s="195">
        <v>4905816.9000000004</v>
      </c>
    </row>
    <row r="20" spans="1:11" ht="15.95" customHeight="1">
      <c r="A20" s="192" t="s">
        <v>172</v>
      </c>
      <c r="B20" s="263"/>
      <c r="C20" s="263"/>
      <c r="D20" s="298"/>
      <c r="E20" s="298"/>
      <c r="F20" s="298"/>
      <c r="G20" s="704"/>
      <c r="H20" s="704">
        <v>150</v>
      </c>
      <c r="I20" s="704">
        <v>21000</v>
      </c>
      <c r="J20" s="193" t="s">
        <v>1055</v>
      </c>
      <c r="K20" s="195">
        <v>2278718</v>
      </c>
    </row>
    <row r="21" spans="1:11" ht="15.95" customHeight="1">
      <c r="A21" s="192" t="s">
        <v>1064</v>
      </c>
      <c r="B21" s="263"/>
      <c r="C21" s="263"/>
      <c r="D21" s="298"/>
      <c r="E21" s="298"/>
      <c r="F21" s="298"/>
      <c r="G21" s="704"/>
      <c r="H21" s="704"/>
      <c r="I21" s="704"/>
      <c r="J21" s="193" t="s">
        <v>1055</v>
      </c>
      <c r="K21" s="195">
        <v>1723005.09</v>
      </c>
    </row>
    <row r="22" spans="1:11" ht="15.95" customHeight="1">
      <c r="A22" s="192" t="s">
        <v>1065</v>
      </c>
      <c r="B22" s="263" t="s">
        <v>1066</v>
      </c>
      <c r="C22" s="263"/>
      <c r="D22" s="298"/>
      <c r="E22" s="298"/>
      <c r="F22" s="298"/>
      <c r="G22" s="704"/>
      <c r="H22" s="704"/>
      <c r="I22" s="704"/>
      <c r="J22" s="193" t="s">
        <v>1067</v>
      </c>
      <c r="K22" s="195">
        <v>1018312.39</v>
      </c>
    </row>
    <row r="23" spans="1:11" ht="15.95" customHeight="1">
      <c r="A23" s="192" t="s">
        <v>1068</v>
      </c>
      <c r="B23" s="263" t="s">
        <v>1069</v>
      </c>
      <c r="C23" s="263"/>
      <c r="D23" s="298"/>
      <c r="E23" s="298"/>
      <c r="F23" s="298"/>
      <c r="G23" s="704"/>
      <c r="H23" s="705">
        <v>14</v>
      </c>
      <c r="I23" s="704">
        <v>28</v>
      </c>
      <c r="J23" s="193" t="s">
        <v>1055</v>
      </c>
      <c r="K23" s="195">
        <v>653351.51</v>
      </c>
    </row>
    <row r="24" spans="1:11" ht="15.95" customHeight="1">
      <c r="A24" s="192" t="s">
        <v>1070</v>
      </c>
      <c r="B24" s="263"/>
      <c r="C24" s="263"/>
      <c r="D24" s="298"/>
      <c r="E24" s="298"/>
      <c r="F24" s="298"/>
      <c r="G24" s="704"/>
      <c r="H24" s="704"/>
      <c r="I24" s="704"/>
      <c r="J24" s="193" t="s">
        <v>1071</v>
      </c>
      <c r="K24" s="195">
        <v>315783.55</v>
      </c>
    </row>
    <row r="25" spans="1:11" ht="15.95" customHeight="1">
      <c r="A25" s="192" t="s">
        <v>1072</v>
      </c>
      <c r="B25" s="263"/>
      <c r="C25" s="263"/>
      <c r="D25" s="298"/>
      <c r="E25" s="298"/>
      <c r="F25" s="298"/>
      <c r="G25" s="704"/>
      <c r="H25" s="704"/>
      <c r="I25" s="704"/>
      <c r="J25" s="193" t="s">
        <v>1055</v>
      </c>
      <c r="K25" s="195">
        <v>197436.3</v>
      </c>
    </row>
    <row r="26" spans="1:11" ht="15.95" customHeight="1">
      <c r="A26" s="192" t="s">
        <v>1073</v>
      </c>
      <c r="B26" s="263"/>
      <c r="C26" s="263"/>
      <c r="D26" s="298"/>
      <c r="E26" s="298"/>
      <c r="F26" s="298"/>
      <c r="G26" s="704"/>
      <c r="H26" s="704"/>
      <c r="I26" s="704"/>
      <c r="J26" s="193" t="s">
        <v>1067</v>
      </c>
      <c r="K26" s="195">
        <v>18159.05</v>
      </c>
    </row>
    <row r="27" spans="1:11" ht="15.95" customHeight="1">
      <c r="A27" s="192" t="s">
        <v>1074</v>
      </c>
      <c r="B27" s="263" t="s">
        <v>1075</v>
      </c>
      <c r="C27" s="263" t="s">
        <v>109</v>
      </c>
      <c r="D27" s="298"/>
      <c r="E27" s="298">
        <v>0.02</v>
      </c>
      <c r="F27" s="298">
        <v>0.08</v>
      </c>
      <c r="G27" s="704"/>
      <c r="H27" s="704">
        <v>228</v>
      </c>
      <c r="I27" s="704">
        <v>18228</v>
      </c>
      <c r="J27" s="193" t="s">
        <v>1055</v>
      </c>
      <c r="K27" s="195">
        <v>1480.12</v>
      </c>
    </row>
    <row r="28" spans="1:11" ht="15.95" customHeight="1">
      <c r="A28" s="706" t="s">
        <v>1076</v>
      </c>
      <c r="B28" s="263"/>
      <c r="C28" s="263"/>
      <c r="D28" s="298"/>
      <c r="E28" s="298"/>
      <c r="F28" s="298"/>
      <c r="G28" s="704"/>
      <c r="H28" s="704"/>
      <c r="I28" s="704"/>
      <c r="J28" s="193"/>
      <c r="K28" s="195">
        <v>39.74</v>
      </c>
    </row>
    <row r="29" spans="1:11" ht="15.95" customHeight="1">
      <c r="A29" s="706"/>
      <c r="B29" s="263"/>
      <c r="C29" s="263"/>
      <c r="D29" s="298"/>
      <c r="E29" s="298"/>
      <c r="F29" s="298"/>
      <c r="G29" s="704"/>
      <c r="H29" s="704"/>
      <c r="I29" s="704"/>
      <c r="J29" s="193"/>
      <c r="K29" s="195"/>
    </row>
    <row r="30" spans="1:11" s="177" customFormat="1" ht="15.95" customHeight="1">
      <c r="A30" s="209" t="s">
        <v>191</v>
      </c>
      <c r="B30" s="210"/>
      <c r="C30" s="210"/>
      <c r="D30" s="211"/>
      <c r="E30" s="211"/>
      <c r="F30" s="211"/>
      <c r="G30" s="210"/>
      <c r="H30" s="210"/>
      <c r="I30" s="210"/>
      <c r="J30" s="210"/>
      <c r="K30" s="213">
        <f>SUM(K31:K32)</f>
        <v>0</v>
      </c>
    </row>
    <row r="31" spans="1:11" s="177" customFormat="1" ht="15.95" customHeight="1">
      <c r="A31" s="192" t="s">
        <v>1077</v>
      </c>
      <c r="B31" s="263" t="s">
        <v>109</v>
      </c>
      <c r="C31" s="232" t="s">
        <v>1078</v>
      </c>
      <c r="D31" s="420"/>
      <c r="E31" s="298"/>
      <c r="F31" s="298"/>
      <c r="G31" s="707"/>
      <c r="H31" s="707"/>
      <c r="I31" s="707"/>
      <c r="J31" s="217"/>
      <c r="K31" s="219">
        <v>0</v>
      </c>
    </row>
    <row r="32" spans="1:11" s="177" customFormat="1" ht="15.95" customHeight="1">
      <c r="A32" s="192"/>
      <c r="B32" s="217"/>
      <c r="C32" s="217"/>
      <c r="D32" s="216"/>
      <c r="E32" s="216"/>
      <c r="F32" s="216"/>
      <c r="G32" s="217"/>
      <c r="H32" s="217"/>
      <c r="I32" s="217"/>
      <c r="J32" s="217"/>
      <c r="K32" s="219"/>
    </row>
    <row r="33" spans="1:11" ht="15.95" customHeight="1">
      <c r="A33" s="188" t="s">
        <v>179</v>
      </c>
      <c r="B33" s="189"/>
      <c r="C33" s="189"/>
      <c r="D33" s="196"/>
      <c r="E33" s="196"/>
      <c r="F33" s="196"/>
      <c r="G33" s="189"/>
      <c r="H33" s="189"/>
      <c r="I33" s="189"/>
      <c r="J33" s="189"/>
      <c r="K33" s="190">
        <f>SUM(K34:K42)</f>
        <v>7486671.3899999997</v>
      </c>
    </row>
    <row r="34" spans="1:11" ht="15.95" customHeight="1">
      <c r="A34" s="192" t="s">
        <v>165</v>
      </c>
      <c r="B34" s="263" t="s">
        <v>1057</v>
      </c>
      <c r="C34" s="263" t="s">
        <v>1079</v>
      </c>
      <c r="D34" s="298"/>
      <c r="E34" s="298"/>
      <c r="F34" s="298"/>
      <c r="G34" s="704"/>
      <c r="H34" s="704">
        <v>462</v>
      </c>
      <c r="I34" s="704">
        <v>12180</v>
      </c>
      <c r="J34" s="193" t="s">
        <v>1055</v>
      </c>
      <c r="K34" s="195">
        <v>2554980.85</v>
      </c>
    </row>
    <row r="35" spans="1:11" ht="15.95" customHeight="1">
      <c r="A35" s="192" t="s">
        <v>1080</v>
      </c>
      <c r="B35" s="263" t="s">
        <v>1059</v>
      </c>
      <c r="C35" s="263" t="s">
        <v>109</v>
      </c>
      <c r="D35" s="298"/>
      <c r="E35" s="298"/>
      <c r="F35" s="298"/>
      <c r="G35" s="704"/>
      <c r="H35" s="704"/>
      <c r="I35" s="704"/>
      <c r="J35" s="193"/>
      <c r="K35" s="195">
        <v>2500000</v>
      </c>
    </row>
    <row r="36" spans="1:11">
      <c r="A36" s="192" t="s">
        <v>1081</v>
      </c>
      <c r="B36" s="263" t="s">
        <v>1082</v>
      </c>
      <c r="C36" s="263" t="s">
        <v>1083</v>
      </c>
      <c r="D36" s="420"/>
      <c r="E36" s="708">
        <v>3.0000000000000001E-3</v>
      </c>
      <c r="F36" s="708">
        <v>1.4999999999999999E-2</v>
      </c>
      <c r="G36" s="707"/>
      <c r="H36" s="707">
        <v>490</v>
      </c>
      <c r="I36" s="707">
        <v>8540</v>
      </c>
      <c r="J36" s="193" t="s">
        <v>1055</v>
      </c>
      <c r="K36" s="219">
        <v>1197137.6299999999</v>
      </c>
    </row>
    <row r="37" spans="1:11" ht="30">
      <c r="A37" s="192" t="s">
        <v>1084</v>
      </c>
      <c r="B37" s="301" t="s">
        <v>1085</v>
      </c>
      <c r="C37" s="301" t="s">
        <v>1086</v>
      </c>
      <c r="D37" s="298"/>
      <c r="E37" s="298"/>
      <c r="F37" s="298"/>
      <c r="G37" s="704"/>
      <c r="H37" s="704">
        <v>300</v>
      </c>
      <c r="I37" s="704">
        <v>4500</v>
      </c>
      <c r="J37" s="193"/>
      <c r="K37" s="195">
        <v>781570</v>
      </c>
    </row>
    <row r="38" spans="1:11">
      <c r="A38" s="192" t="s">
        <v>1087</v>
      </c>
      <c r="B38" s="263"/>
      <c r="C38" s="263" t="s">
        <v>1083</v>
      </c>
      <c r="D38" s="298"/>
      <c r="E38" s="298">
        <v>0.02</v>
      </c>
      <c r="F38" s="298">
        <v>0.05</v>
      </c>
      <c r="G38" s="704"/>
      <c r="H38" s="704"/>
      <c r="I38" s="704"/>
      <c r="J38" s="193" t="s">
        <v>1055</v>
      </c>
      <c r="K38" s="195">
        <v>388610.91</v>
      </c>
    </row>
    <row r="39" spans="1:11" ht="15.95" customHeight="1">
      <c r="A39" s="192" t="s">
        <v>1088</v>
      </c>
      <c r="B39" s="235"/>
      <c r="C39" s="235"/>
      <c r="D39" s="267"/>
      <c r="E39" s="267"/>
      <c r="F39" s="267"/>
      <c r="G39" s="705"/>
      <c r="H39" s="705">
        <v>50</v>
      </c>
      <c r="I39" s="705">
        <v>150</v>
      </c>
      <c r="J39" s="237" t="s">
        <v>1055</v>
      </c>
      <c r="K39" s="261">
        <v>56900</v>
      </c>
    </row>
    <row r="40" spans="1:11" ht="15.95" customHeight="1">
      <c r="A40" s="192" t="s">
        <v>1089</v>
      </c>
      <c r="B40" s="263" t="s">
        <v>1057</v>
      </c>
      <c r="C40" s="263" t="s">
        <v>283</v>
      </c>
      <c r="D40" s="298"/>
      <c r="E40" s="298"/>
      <c r="F40" s="298"/>
      <c r="G40" s="704"/>
      <c r="H40" s="704">
        <v>910</v>
      </c>
      <c r="I40" s="704">
        <v>3220</v>
      </c>
      <c r="J40" s="193" t="s">
        <v>1055</v>
      </c>
      <c r="K40" s="195">
        <v>7472</v>
      </c>
    </row>
    <row r="41" spans="1:11" ht="15.95" customHeight="1">
      <c r="A41" s="192" t="s">
        <v>373</v>
      </c>
      <c r="B41" s="263" t="s">
        <v>1090</v>
      </c>
      <c r="C41" s="263"/>
      <c r="D41" s="298"/>
      <c r="E41" s="298">
        <v>0.1</v>
      </c>
      <c r="F41" s="298">
        <v>0.5</v>
      </c>
      <c r="G41" s="704"/>
      <c r="H41" s="704">
        <v>1189</v>
      </c>
      <c r="I41" s="704">
        <v>7140</v>
      </c>
      <c r="J41" s="193" t="s">
        <v>1055</v>
      </c>
      <c r="K41" s="195">
        <v>0</v>
      </c>
    </row>
    <row r="42" spans="1:11" ht="15.95" customHeight="1">
      <c r="A42" s="192"/>
      <c r="B42" s="263"/>
      <c r="C42" s="263"/>
      <c r="D42" s="298"/>
      <c r="E42" s="298"/>
      <c r="F42" s="298"/>
      <c r="G42" s="704"/>
      <c r="H42" s="704"/>
      <c r="I42" s="704"/>
      <c r="J42" s="193"/>
      <c r="K42" s="195"/>
    </row>
    <row r="43" spans="1:11" ht="15.95" customHeight="1">
      <c r="A43" s="188" t="s">
        <v>152</v>
      </c>
      <c r="B43" s="189"/>
      <c r="C43" s="189"/>
      <c r="D43" s="196"/>
      <c r="E43" s="196"/>
      <c r="F43" s="196"/>
      <c r="G43" s="189"/>
      <c r="H43" s="189"/>
      <c r="I43" s="189"/>
      <c r="J43" s="189"/>
      <c r="K43" s="190">
        <f>SUM(K44:K48)</f>
        <v>867222</v>
      </c>
    </row>
    <row r="44" spans="1:11" ht="15.95" customHeight="1">
      <c r="A44" s="192" t="s">
        <v>1091</v>
      </c>
      <c r="B44" s="263" t="s">
        <v>109</v>
      </c>
      <c r="C44" s="263" t="s">
        <v>1092</v>
      </c>
      <c r="D44" s="298"/>
      <c r="E44" s="298"/>
      <c r="F44" s="298"/>
      <c r="G44" s="705">
        <v>11900</v>
      </c>
      <c r="H44" s="704"/>
      <c r="I44" s="704"/>
      <c r="J44" s="193"/>
      <c r="K44" s="195">
        <v>567800</v>
      </c>
    </row>
    <row r="45" spans="1:11">
      <c r="A45" s="192" t="s">
        <v>1093</v>
      </c>
      <c r="B45" s="263" t="s">
        <v>109</v>
      </c>
      <c r="C45" s="263" t="s">
        <v>1092</v>
      </c>
      <c r="D45" s="298"/>
      <c r="E45" s="298"/>
      <c r="F45" s="298"/>
      <c r="G45" s="704"/>
      <c r="H45" s="704">
        <v>6860</v>
      </c>
      <c r="I45" s="704">
        <v>16198</v>
      </c>
      <c r="J45" s="193"/>
      <c r="K45" s="195">
        <v>222022</v>
      </c>
    </row>
    <row r="46" spans="1:11" ht="15.95" customHeight="1">
      <c r="A46" s="192" t="s">
        <v>1094</v>
      </c>
      <c r="B46" s="263" t="s">
        <v>109</v>
      </c>
      <c r="C46" s="263"/>
      <c r="D46" s="298"/>
      <c r="E46" s="298"/>
      <c r="F46" s="298"/>
      <c r="G46" s="704">
        <v>5600</v>
      </c>
      <c r="H46" s="704"/>
      <c r="I46" s="704"/>
      <c r="J46" s="193"/>
      <c r="K46" s="195">
        <v>41600</v>
      </c>
    </row>
    <row r="47" spans="1:11" ht="15.95" customHeight="1">
      <c r="A47" s="192" t="s">
        <v>1095</v>
      </c>
      <c r="B47" s="263" t="s">
        <v>109</v>
      </c>
      <c r="C47" s="263" t="s">
        <v>1096</v>
      </c>
      <c r="D47" s="298"/>
      <c r="E47" s="298"/>
      <c r="F47" s="298"/>
      <c r="G47" s="704"/>
      <c r="H47" s="704">
        <v>600</v>
      </c>
      <c r="I47" s="704">
        <v>3000</v>
      </c>
      <c r="J47" s="193"/>
      <c r="K47" s="195">
        <v>35800</v>
      </c>
    </row>
    <row r="48" spans="1:11" ht="15.95" customHeight="1">
      <c r="A48" s="256"/>
      <c r="B48" s="193"/>
      <c r="C48" s="193"/>
      <c r="D48" s="194"/>
      <c r="E48" s="194"/>
      <c r="F48" s="194"/>
      <c r="G48" s="193"/>
      <c r="H48" s="193"/>
      <c r="I48" s="193"/>
      <c r="J48" s="193"/>
      <c r="K48" s="195"/>
    </row>
    <row r="49" spans="1:11" ht="15.95" customHeight="1">
      <c r="A49" s="188" t="s">
        <v>151</v>
      </c>
      <c r="B49" s="189"/>
      <c r="C49" s="189"/>
      <c r="D49" s="196"/>
      <c r="E49" s="196"/>
      <c r="F49" s="196"/>
      <c r="G49" s="189"/>
      <c r="H49" s="189"/>
      <c r="I49" s="189"/>
      <c r="J49" s="189"/>
      <c r="K49" s="190">
        <f>SUM(K50:K51)</f>
        <v>981573.97</v>
      </c>
    </row>
    <row r="50" spans="1:11" ht="15.95" customHeight="1">
      <c r="A50" s="192" t="s">
        <v>548</v>
      </c>
      <c r="B50" s="263"/>
      <c r="C50" s="263"/>
      <c r="D50" s="298"/>
      <c r="E50" s="298">
        <v>0.1</v>
      </c>
      <c r="F50" s="298">
        <v>1</v>
      </c>
      <c r="G50" s="704"/>
      <c r="H50" s="704"/>
      <c r="I50" s="704"/>
      <c r="J50" s="193"/>
      <c r="K50" s="195">
        <v>981573.97</v>
      </c>
    </row>
    <row r="51" spans="1:11" ht="15.95" customHeight="1">
      <c r="A51" s="192"/>
      <c r="B51" s="263"/>
      <c r="C51" s="263"/>
      <c r="D51" s="298"/>
      <c r="E51" s="298"/>
      <c r="F51" s="298"/>
      <c r="G51" s="704"/>
      <c r="H51" s="704"/>
      <c r="I51" s="704"/>
      <c r="J51" s="193"/>
      <c r="K51" s="195"/>
    </row>
    <row r="52" spans="1:11" ht="15.95" customHeight="1">
      <c r="A52" s="209" t="s">
        <v>137</v>
      </c>
      <c r="B52" s="210"/>
      <c r="C52" s="210"/>
      <c r="D52" s="211"/>
      <c r="E52" s="211"/>
      <c r="F52" s="211"/>
      <c r="G52" s="210"/>
      <c r="H52" s="210"/>
      <c r="I52" s="210"/>
      <c r="J52" s="210"/>
      <c r="K52" s="213">
        <f>SUM(K53:K54)</f>
        <v>140919</v>
      </c>
    </row>
    <row r="53" spans="1:11" ht="15.95" customHeight="1">
      <c r="A53" s="192" t="s">
        <v>1097</v>
      </c>
      <c r="B53" s="263" t="s">
        <v>109</v>
      </c>
      <c r="C53" s="263" t="s">
        <v>1059</v>
      </c>
      <c r="D53" s="298"/>
      <c r="E53" s="298"/>
      <c r="F53" s="298"/>
      <c r="G53" s="705">
        <v>11900</v>
      </c>
      <c r="H53" s="704"/>
      <c r="I53" s="704"/>
      <c r="J53" s="193"/>
      <c r="K53" s="195">
        <v>140919</v>
      </c>
    </row>
    <row r="54" spans="1:11" ht="15.95" customHeight="1">
      <c r="A54" s="192"/>
      <c r="B54" s="263"/>
      <c r="C54" s="263"/>
      <c r="D54" s="298"/>
      <c r="E54" s="298"/>
      <c r="F54" s="298"/>
      <c r="G54" s="705"/>
      <c r="H54" s="704"/>
      <c r="I54" s="704"/>
      <c r="J54" s="193"/>
      <c r="K54" s="195"/>
    </row>
    <row r="55" spans="1:11" s="177" customFormat="1" ht="15.95" customHeight="1">
      <c r="A55" s="188" t="s">
        <v>136</v>
      </c>
      <c r="B55" s="189"/>
      <c r="C55" s="189"/>
      <c r="D55" s="196"/>
      <c r="E55" s="196"/>
      <c r="F55" s="196"/>
      <c r="G55" s="189"/>
      <c r="H55" s="189"/>
      <c r="I55" s="189"/>
      <c r="J55" s="189"/>
      <c r="K55" s="190">
        <f>SUM(K56:K64)</f>
        <v>26872945.790000003</v>
      </c>
    </row>
    <row r="56" spans="1:11" ht="15.95" customHeight="1">
      <c r="A56" s="192" t="s">
        <v>1098</v>
      </c>
      <c r="B56" s="192"/>
      <c r="C56" s="193"/>
      <c r="D56" s="193"/>
      <c r="E56" s="424"/>
      <c r="F56" s="424"/>
      <c r="G56" s="424"/>
      <c r="H56" s="709"/>
      <c r="I56" s="709"/>
      <c r="J56" s="709"/>
      <c r="K56" s="195">
        <v>15255946.01</v>
      </c>
    </row>
    <row r="57" spans="1:11" ht="15.95" customHeight="1">
      <c r="A57" s="192" t="s">
        <v>1099</v>
      </c>
      <c r="B57" s="263" t="s">
        <v>1100</v>
      </c>
      <c r="C57" s="263"/>
      <c r="D57" s="298"/>
      <c r="E57" s="298"/>
      <c r="F57" s="298"/>
      <c r="G57" s="704"/>
      <c r="H57" s="704"/>
      <c r="I57" s="704"/>
      <c r="J57" s="193" t="s">
        <v>1055</v>
      </c>
      <c r="K57" s="195">
        <v>8067480.4800000004</v>
      </c>
    </row>
    <row r="58" spans="1:11" ht="15.95" customHeight="1">
      <c r="A58" s="192" t="s">
        <v>1101</v>
      </c>
      <c r="B58" s="263" t="s">
        <v>1083</v>
      </c>
      <c r="C58" s="263"/>
      <c r="D58" s="298"/>
      <c r="E58" s="298"/>
      <c r="F58" s="298"/>
      <c r="G58" s="704"/>
      <c r="H58" s="704"/>
      <c r="I58" s="704"/>
      <c r="J58" s="193"/>
      <c r="K58" s="195">
        <v>1600228.54</v>
      </c>
    </row>
    <row r="59" spans="1:11" ht="15.95" customHeight="1">
      <c r="A59" s="192" t="s">
        <v>1102</v>
      </c>
      <c r="B59" s="263" t="s">
        <v>1103</v>
      </c>
      <c r="C59" s="263"/>
      <c r="D59" s="298"/>
      <c r="E59" s="298"/>
      <c r="F59" s="298"/>
      <c r="G59" s="704"/>
      <c r="H59" s="704"/>
      <c r="I59" s="704"/>
      <c r="J59" s="193" t="s">
        <v>1055</v>
      </c>
      <c r="K59" s="195">
        <v>1454916</v>
      </c>
    </row>
    <row r="60" spans="1:11" ht="15.95" customHeight="1">
      <c r="A60" s="192" t="s">
        <v>1104</v>
      </c>
      <c r="B60" s="263"/>
      <c r="C60" s="263"/>
      <c r="D60" s="298"/>
      <c r="E60" s="298"/>
      <c r="F60" s="298"/>
      <c r="G60" s="704"/>
      <c r="H60" s="704"/>
      <c r="I60" s="704"/>
      <c r="J60" s="193"/>
      <c r="K60" s="195">
        <v>265395</v>
      </c>
    </row>
    <row r="61" spans="1:11" ht="15.95" customHeight="1">
      <c r="A61" s="192" t="s">
        <v>135</v>
      </c>
      <c r="B61" s="263"/>
      <c r="C61" s="263" t="s">
        <v>1083</v>
      </c>
      <c r="D61" s="298"/>
      <c r="E61" s="298"/>
      <c r="F61" s="298"/>
      <c r="G61" s="704"/>
      <c r="H61" s="704"/>
      <c r="I61" s="704"/>
      <c r="J61" s="193" t="s">
        <v>1055</v>
      </c>
      <c r="K61" s="195">
        <v>156701.26</v>
      </c>
    </row>
    <row r="62" spans="1:11" ht="15.95" customHeight="1">
      <c r="A62" s="192" t="s">
        <v>1105</v>
      </c>
      <c r="B62" s="263" t="s">
        <v>109</v>
      </c>
      <c r="C62" s="263" t="s">
        <v>1106</v>
      </c>
      <c r="D62" s="298"/>
      <c r="E62" s="298"/>
      <c r="F62" s="298"/>
      <c r="G62" s="704"/>
      <c r="H62" s="704"/>
      <c r="I62" s="704"/>
      <c r="J62" s="193"/>
      <c r="K62" s="195">
        <v>47040</v>
      </c>
    </row>
    <row r="63" spans="1:11" ht="15.95" customHeight="1">
      <c r="A63" s="192" t="s">
        <v>1107</v>
      </c>
      <c r="B63" s="263" t="s">
        <v>109</v>
      </c>
      <c r="C63" s="263" t="s">
        <v>109</v>
      </c>
      <c r="D63" s="298"/>
      <c r="E63" s="298"/>
      <c r="F63" s="298"/>
      <c r="G63" s="704"/>
      <c r="H63" s="704"/>
      <c r="I63" s="704"/>
      <c r="J63" s="193"/>
      <c r="K63" s="195">
        <v>25238.5</v>
      </c>
    </row>
    <row r="64" spans="1:11" ht="15.95" customHeight="1">
      <c r="A64" s="192"/>
      <c r="B64" s="263"/>
      <c r="C64" s="263"/>
      <c r="D64" s="298"/>
      <c r="E64" s="298"/>
      <c r="F64" s="298"/>
      <c r="G64" s="704"/>
      <c r="H64" s="704"/>
      <c r="I64" s="704"/>
      <c r="J64" s="193"/>
      <c r="K64" s="195"/>
    </row>
    <row r="65" spans="1:11" ht="15.95" customHeight="1">
      <c r="A65" s="241" t="s">
        <v>108</v>
      </c>
      <c r="B65" s="242"/>
      <c r="C65" s="242"/>
      <c r="D65" s="243"/>
      <c r="E65" s="243"/>
      <c r="F65" s="243"/>
      <c r="G65" s="242"/>
      <c r="H65" s="242"/>
      <c r="I65" s="242"/>
      <c r="J65" s="242"/>
      <c r="K65" s="276">
        <f>+K9+K11+K30+K33+K43+K49+K52+K55</f>
        <v>195114902.43000004</v>
      </c>
    </row>
    <row r="66" spans="1:11" ht="15.95" customHeight="1">
      <c r="A66" s="245"/>
      <c r="B66" s="246"/>
      <c r="C66" s="246"/>
      <c r="D66" s="246"/>
      <c r="E66" s="246"/>
      <c r="F66" s="246"/>
      <c r="G66" s="246"/>
      <c r="H66" s="246"/>
      <c r="I66" s="246"/>
      <c r="J66" s="246"/>
      <c r="K66" s="246"/>
    </row>
    <row r="67" spans="1:11">
      <c r="K67" s="191"/>
    </row>
  </sheetData>
  <mergeCells count="10">
    <mergeCell ref="J7:J8"/>
    <mergeCell ref="K7:K8"/>
    <mergeCell ref="H6:I6"/>
    <mergeCell ref="A7:A8"/>
    <mergeCell ref="B7:B8"/>
    <mergeCell ref="C7:C8"/>
    <mergeCell ref="D7:D8"/>
    <mergeCell ref="E7:F7"/>
    <mergeCell ref="G7:G8"/>
    <mergeCell ref="H7:I7"/>
  </mergeCells>
  <pageMargins left="0.39370078740157483" right="0.39370078740157483" top="0.39370078740157483" bottom="0.39370078740157483" header="0.31496062992125984" footer="0.31496062992125984"/>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N74"/>
  <sheetViews>
    <sheetView zoomScaleNormal="100" workbookViewId="0">
      <pane xSplit="1" topLeftCell="B1" activePane="topRight" state="frozen"/>
      <selection pane="topRight"/>
    </sheetView>
  </sheetViews>
  <sheetFormatPr baseColWidth="10" defaultRowHeight="15"/>
  <cols>
    <col min="1" max="1" width="71" style="41" customWidth="1"/>
    <col min="2" max="6" width="17.7109375" style="41" customWidth="1"/>
    <col min="7" max="7" width="19.42578125" style="41" customWidth="1"/>
    <col min="8" max="11" width="17.7109375" style="41" customWidth="1"/>
    <col min="12" max="13" width="11.42578125" style="41"/>
    <col min="14" max="14" width="14" style="41" bestFit="1" customWidth="1"/>
    <col min="15" max="16384" width="11.42578125" style="41"/>
  </cols>
  <sheetData>
    <row r="1" spans="1:13" ht="12" customHeight="1">
      <c r="A1" s="174" t="s">
        <v>236</v>
      </c>
      <c r="B1" s="42"/>
      <c r="C1" s="42"/>
      <c r="D1" s="42"/>
      <c r="E1" s="42"/>
      <c r="F1" s="42"/>
      <c r="G1" s="42"/>
      <c r="H1" s="42"/>
      <c r="I1" s="42"/>
      <c r="J1" s="42"/>
      <c r="K1" s="42"/>
    </row>
    <row r="2" spans="1:13" ht="12" customHeight="1">
      <c r="A2" s="172" t="s">
        <v>235</v>
      </c>
      <c r="B2" s="170"/>
      <c r="C2" s="170"/>
      <c r="D2" s="170"/>
      <c r="E2" s="170"/>
      <c r="F2" s="170"/>
      <c r="G2" s="170"/>
      <c r="H2" s="170"/>
      <c r="I2" s="170"/>
      <c r="J2" s="170"/>
      <c r="K2" s="173" t="s">
        <v>234</v>
      </c>
    </row>
    <row r="3" spans="1:13" ht="17.25">
      <c r="A3" s="172" t="s">
        <v>233</v>
      </c>
      <c r="B3" s="170"/>
      <c r="C3" s="170"/>
      <c r="D3" s="170"/>
      <c r="E3" s="170"/>
      <c r="F3" s="170"/>
      <c r="G3" s="170"/>
      <c r="H3" s="170"/>
      <c r="I3" s="170"/>
      <c r="J3" s="170"/>
      <c r="K3" s="170"/>
    </row>
    <row r="4" spans="1:13" ht="12" customHeight="1">
      <c r="A4" s="172" t="s">
        <v>232</v>
      </c>
      <c r="B4" s="170"/>
      <c r="C4" s="170"/>
      <c r="D4" s="170"/>
      <c r="E4" s="170"/>
      <c r="F4" s="170"/>
      <c r="G4" s="170"/>
      <c r="H4" s="170"/>
      <c r="I4" s="170"/>
      <c r="J4" s="170"/>
      <c r="K4" s="170"/>
    </row>
    <row r="5" spans="1:13" hidden="1">
      <c r="A5" s="172"/>
      <c r="B5" s="170"/>
      <c r="C5" s="170"/>
      <c r="D5" s="170"/>
      <c r="E5" s="170"/>
      <c r="F5" s="170"/>
      <c r="G5" s="170"/>
      <c r="H5" s="170"/>
      <c r="I5" s="170"/>
      <c r="J5" s="170"/>
      <c r="K5" s="170"/>
    </row>
    <row r="6" spans="1:13" ht="15.75" hidden="1">
      <c r="A6" s="171" t="s">
        <v>231</v>
      </c>
      <c r="B6" s="170"/>
      <c r="C6" s="170"/>
      <c r="D6" s="170"/>
      <c r="E6" s="170"/>
      <c r="F6" s="170"/>
      <c r="G6" s="170"/>
      <c r="H6" s="170"/>
      <c r="I6" s="170"/>
      <c r="J6" s="170"/>
      <c r="K6" s="170"/>
    </row>
    <row r="7" spans="1:13" ht="15.75" hidden="1">
      <c r="A7" s="48" t="s">
        <v>230</v>
      </c>
    </row>
    <row r="8" spans="1:13" ht="15.75" hidden="1">
      <c r="A8" s="48" t="s">
        <v>229</v>
      </c>
      <c r="D8" s="169"/>
      <c r="E8" s="1376"/>
      <c r="F8" s="1376"/>
      <c r="H8" s="1376"/>
      <c r="I8" s="1376"/>
      <c r="K8" s="169"/>
    </row>
    <row r="9" spans="1:13" hidden="1">
      <c r="D9" s="169"/>
      <c r="E9" s="169"/>
      <c r="F9" s="169"/>
      <c r="H9" s="169"/>
      <c r="I9" s="169"/>
      <c r="K9" s="169"/>
    </row>
    <row r="10" spans="1:13" hidden="1">
      <c r="A10" s="167" t="s">
        <v>228</v>
      </c>
      <c r="B10" s="167" t="s">
        <v>227</v>
      </c>
      <c r="C10" s="167" t="s">
        <v>226</v>
      </c>
      <c r="D10" s="167"/>
      <c r="E10" s="168" t="s">
        <v>225</v>
      </c>
      <c r="F10" s="168"/>
      <c r="G10" s="167" t="s">
        <v>224</v>
      </c>
      <c r="H10" s="1377" t="s">
        <v>223</v>
      </c>
      <c r="I10" s="1377"/>
      <c r="J10" s="167" t="s">
        <v>222</v>
      </c>
      <c r="K10" s="167" t="s">
        <v>221</v>
      </c>
    </row>
    <row r="11" spans="1:13">
      <c r="A11" s="1378" t="s">
        <v>220</v>
      </c>
      <c r="B11" s="1374" t="s">
        <v>219</v>
      </c>
      <c r="C11" s="1374" t="s">
        <v>218</v>
      </c>
      <c r="D11" s="1374" t="s">
        <v>217</v>
      </c>
      <c r="E11" s="1374" t="s">
        <v>216</v>
      </c>
      <c r="F11" s="1374"/>
      <c r="G11" s="1374" t="s">
        <v>215</v>
      </c>
      <c r="H11" s="1374" t="s">
        <v>214</v>
      </c>
      <c r="I11" s="1374"/>
      <c r="J11" s="1374" t="s">
        <v>213</v>
      </c>
      <c r="K11" s="1375" t="s">
        <v>212</v>
      </c>
    </row>
    <row r="12" spans="1:13" ht="23.25" customHeight="1">
      <c r="A12" s="1378"/>
      <c r="B12" s="1374"/>
      <c r="C12" s="1374"/>
      <c r="D12" s="1374"/>
      <c r="E12" s="166" t="s">
        <v>211</v>
      </c>
      <c r="F12" s="166" t="s">
        <v>210</v>
      </c>
      <c r="G12" s="1374"/>
      <c r="H12" s="166" t="s">
        <v>211</v>
      </c>
      <c r="I12" s="166" t="s">
        <v>210</v>
      </c>
      <c r="J12" s="1374"/>
      <c r="K12" s="1375"/>
    </row>
    <row r="13" spans="1:13" ht="23.25" customHeight="1">
      <c r="A13" s="165" t="s">
        <v>209</v>
      </c>
      <c r="B13" s="164"/>
      <c r="C13" s="163"/>
      <c r="D13" s="163"/>
      <c r="E13" s="163"/>
      <c r="F13" s="163"/>
      <c r="G13" s="163"/>
      <c r="H13" s="163"/>
      <c r="I13" s="163"/>
      <c r="J13" s="163"/>
      <c r="K13" s="162">
        <f>+K16+K22+K26+K36+K42</f>
        <v>16774740.439999999</v>
      </c>
      <c r="M13" s="161"/>
    </row>
    <row r="14" spans="1:13" ht="15" customHeight="1">
      <c r="A14" s="104" t="s">
        <v>208</v>
      </c>
      <c r="B14" s="102"/>
      <c r="C14" s="102"/>
      <c r="D14" s="102"/>
      <c r="E14" s="102"/>
      <c r="F14" s="102"/>
      <c r="G14" s="102"/>
      <c r="H14" s="102"/>
      <c r="I14" s="102"/>
      <c r="J14" s="102"/>
      <c r="K14" s="100"/>
    </row>
    <row r="15" spans="1:13" s="157" customFormat="1" ht="25.5" customHeight="1">
      <c r="A15" s="160">
        <v>0</v>
      </c>
      <c r="B15" s="159">
        <v>0</v>
      </c>
      <c r="C15" s="159">
        <v>0</v>
      </c>
      <c r="D15" s="57">
        <v>0</v>
      </c>
      <c r="E15" s="57">
        <v>0</v>
      </c>
      <c r="F15" s="57">
        <v>0</v>
      </c>
      <c r="G15" s="159">
        <v>0</v>
      </c>
      <c r="H15" s="159">
        <v>0</v>
      </c>
      <c r="I15" s="159">
        <v>0</v>
      </c>
      <c r="J15" s="159">
        <v>0</v>
      </c>
      <c r="K15" s="158">
        <v>0</v>
      </c>
    </row>
    <row r="16" spans="1:13" ht="15.95" customHeight="1">
      <c r="A16" s="104" t="s">
        <v>207</v>
      </c>
      <c r="B16" s="102"/>
      <c r="C16" s="102"/>
      <c r="D16" s="103"/>
      <c r="E16" s="103"/>
      <c r="F16" s="103"/>
      <c r="G16" s="102"/>
      <c r="H16" s="102"/>
      <c r="I16" s="102"/>
      <c r="J16" s="102"/>
      <c r="K16" s="100">
        <f>+K17+K18+K19+K20+K21</f>
        <v>8198961.7600000007</v>
      </c>
    </row>
    <row r="17" spans="1:11" s="113" customFormat="1" ht="15.95" customHeight="1">
      <c r="A17" s="94" t="s">
        <v>206</v>
      </c>
      <c r="B17" s="126" t="s">
        <v>200</v>
      </c>
      <c r="C17" s="116" t="s">
        <v>205</v>
      </c>
      <c r="D17" s="155">
        <v>0.01</v>
      </c>
      <c r="E17" s="156">
        <v>5.0000000000000001E-3</v>
      </c>
      <c r="F17" s="155">
        <v>0.05</v>
      </c>
      <c r="G17" s="92">
        <v>0</v>
      </c>
      <c r="H17" s="96"/>
      <c r="I17" s="154"/>
      <c r="J17" s="126" t="s">
        <v>204</v>
      </c>
      <c r="K17" s="138">
        <v>2655844.65</v>
      </c>
    </row>
    <row r="18" spans="1:11" s="113" customFormat="1" ht="15.95" customHeight="1">
      <c r="A18" s="117" t="s">
        <v>203</v>
      </c>
      <c r="B18" s="128">
        <v>0</v>
      </c>
      <c r="C18" s="116" t="s">
        <v>109</v>
      </c>
      <c r="D18" s="153">
        <v>0</v>
      </c>
      <c r="E18" s="92">
        <v>0</v>
      </c>
      <c r="F18" s="92">
        <v>0</v>
      </c>
      <c r="G18" s="91"/>
      <c r="H18" s="152">
        <v>390</v>
      </c>
      <c r="I18" s="152">
        <v>420</v>
      </c>
      <c r="J18" s="126" t="s">
        <v>202</v>
      </c>
      <c r="K18" s="106">
        <v>2370610</v>
      </c>
    </row>
    <row r="19" spans="1:11" s="89" customFormat="1" ht="15.95" customHeight="1">
      <c r="A19" s="151" t="s">
        <v>201</v>
      </c>
      <c r="B19" s="147" t="s">
        <v>200</v>
      </c>
      <c r="C19" s="150" t="s">
        <v>109</v>
      </c>
      <c r="D19" s="149">
        <v>8.6956000000000006E-2</v>
      </c>
      <c r="E19" s="148">
        <v>0</v>
      </c>
      <c r="F19" s="148">
        <v>0</v>
      </c>
      <c r="G19" s="148">
        <v>0</v>
      </c>
      <c r="H19" s="148">
        <v>0</v>
      </c>
      <c r="I19" s="148">
        <v>0</v>
      </c>
      <c r="J19" s="147" t="s">
        <v>199</v>
      </c>
      <c r="K19" s="146">
        <v>1545653.53</v>
      </c>
    </row>
    <row r="20" spans="1:11" s="137" customFormat="1" ht="28.5" customHeight="1">
      <c r="A20" s="145" t="s">
        <v>198</v>
      </c>
      <c r="B20" s="144" t="s">
        <v>197</v>
      </c>
      <c r="C20" s="143" t="s">
        <v>193</v>
      </c>
      <c r="D20" s="141">
        <v>0</v>
      </c>
      <c r="E20" s="142">
        <v>1.84E-2</v>
      </c>
      <c r="F20" s="142">
        <v>5.8099999999999999E-2</v>
      </c>
      <c r="G20" s="141">
        <v>0</v>
      </c>
      <c r="H20" s="140">
        <v>2950</v>
      </c>
      <c r="I20" s="140">
        <v>25000</v>
      </c>
      <c r="J20" s="139" t="s">
        <v>196</v>
      </c>
      <c r="K20" s="138">
        <v>1241129.02</v>
      </c>
    </row>
    <row r="21" spans="1:11" s="113" customFormat="1" ht="20.25" customHeight="1">
      <c r="A21" s="117" t="s">
        <v>195</v>
      </c>
      <c r="B21" s="133" t="s">
        <v>194</v>
      </c>
      <c r="C21" s="136" t="s">
        <v>193</v>
      </c>
      <c r="D21" s="135">
        <v>0.1</v>
      </c>
      <c r="E21" s="134">
        <v>0</v>
      </c>
      <c r="F21" s="134">
        <v>0</v>
      </c>
      <c r="G21" s="134">
        <v>0</v>
      </c>
      <c r="H21" s="134">
        <v>0</v>
      </c>
      <c r="I21" s="134">
        <v>0</v>
      </c>
      <c r="J21" s="133" t="s">
        <v>192</v>
      </c>
      <c r="K21" s="132">
        <v>385724.56</v>
      </c>
    </row>
    <row r="22" spans="1:11" ht="15.95" customHeight="1">
      <c r="A22" s="104" t="s">
        <v>191</v>
      </c>
      <c r="B22" s="102"/>
      <c r="C22" s="103"/>
      <c r="D22" s="103"/>
      <c r="E22" s="103"/>
      <c r="F22" s="103"/>
      <c r="G22" s="102"/>
      <c r="H22" s="102"/>
      <c r="I22" s="102"/>
      <c r="J22" s="102"/>
      <c r="K22" s="100">
        <f>+K23+K24</f>
        <v>2858586.23</v>
      </c>
    </row>
    <row r="23" spans="1:11" s="54" customFormat="1" ht="15.95" customHeight="1">
      <c r="A23" s="121" t="s">
        <v>190</v>
      </c>
      <c r="B23" s="131" t="s">
        <v>189</v>
      </c>
      <c r="C23" s="131" t="s">
        <v>188</v>
      </c>
      <c r="D23" s="130">
        <v>0</v>
      </c>
      <c r="E23" s="130">
        <v>0</v>
      </c>
      <c r="F23" s="130">
        <v>0</v>
      </c>
      <c r="G23" s="63">
        <v>4174.2</v>
      </c>
      <c r="H23" s="130">
        <v>0</v>
      </c>
      <c r="I23" s="130">
        <v>0</v>
      </c>
      <c r="J23" s="95" t="s">
        <v>187</v>
      </c>
      <c r="K23" s="55">
        <v>2261571.84</v>
      </c>
    </row>
    <row r="24" spans="1:11" s="54" customFormat="1" ht="15.95" customHeight="1">
      <c r="A24" s="121" t="s">
        <v>186</v>
      </c>
      <c r="B24" s="131" t="s">
        <v>185</v>
      </c>
      <c r="C24" s="131" t="s">
        <v>185</v>
      </c>
      <c r="D24" s="130"/>
      <c r="E24" s="130"/>
      <c r="F24" s="130"/>
      <c r="G24" s="63"/>
      <c r="H24" s="130"/>
      <c r="I24" s="130"/>
      <c r="J24" s="95" t="s">
        <v>184</v>
      </c>
      <c r="K24" s="55">
        <v>597014.39</v>
      </c>
    </row>
    <row r="25" spans="1:11" s="89" customFormat="1" ht="15.95" customHeight="1">
      <c r="A25" s="97" t="s">
        <v>183</v>
      </c>
      <c r="B25" s="90" t="s">
        <v>182</v>
      </c>
      <c r="C25" s="129" t="s">
        <v>181</v>
      </c>
      <c r="D25" s="128">
        <v>0</v>
      </c>
      <c r="E25" s="128">
        <v>0</v>
      </c>
      <c r="F25" s="128">
        <v>0</v>
      </c>
      <c r="G25" s="91">
        <v>5000</v>
      </c>
      <c r="H25" s="128">
        <v>0</v>
      </c>
      <c r="I25" s="128">
        <v>0</v>
      </c>
      <c r="J25" s="90" t="s">
        <v>180</v>
      </c>
      <c r="K25" s="55"/>
    </row>
    <row r="26" spans="1:11" ht="15.95" customHeight="1">
      <c r="A26" s="104" t="s">
        <v>179</v>
      </c>
      <c r="B26" s="102"/>
      <c r="C26" s="102"/>
      <c r="D26" s="103"/>
      <c r="E26" s="103"/>
      <c r="F26" s="103"/>
      <c r="G26" s="102"/>
      <c r="H26" s="102"/>
      <c r="I26" s="102"/>
      <c r="J26" s="102"/>
      <c r="K26" s="100">
        <f>+K31+K30+K29+K28+K27+K33</f>
        <v>2834153.82</v>
      </c>
    </row>
    <row r="27" spans="1:11" s="89" customFormat="1" ht="15.95" customHeight="1">
      <c r="A27" s="97" t="s">
        <v>178</v>
      </c>
      <c r="B27" s="93" t="s">
        <v>177</v>
      </c>
      <c r="C27" s="93" t="s">
        <v>176</v>
      </c>
      <c r="D27" s="122">
        <v>0</v>
      </c>
      <c r="E27" s="122">
        <v>0</v>
      </c>
      <c r="F27" s="122">
        <v>0</v>
      </c>
      <c r="G27" s="90"/>
      <c r="H27" s="91" t="s">
        <v>175</v>
      </c>
      <c r="I27" s="91" t="s">
        <v>174</v>
      </c>
      <c r="J27" s="90" t="s">
        <v>173</v>
      </c>
      <c r="K27" s="55">
        <v>2017485.43</v>
      </c>
    </row>
    <row r="28" spans="1:11" s="113" customFormat="1" ht="15.95" customHeight="1">
      <c r="A28" s="117" t="s">
        <v>172</v>
      </c>
      <c r="B28" s="126" t="s">
        <v>171</v>
      </c>
      <c r="C28" s="116" t="s">
        <v>170</v>
      </c>
      <c r="D28" s="92">
        <v>0</v>
      </c>
      <c r="E28" s="92">
        <v>0</v>
      </c>
      <c r="F28" s="92">
        <v>0</v>
      </c>
      <c r="G28" s="92">
        <v>0</v>
      </c>
      <c r="H28" s="127">
        <v>70</v>
      </c>
      <c r="I28" s="127">
        <v>2900</v>
      </c>
      <c r="J28" s="126" t="s">
        <v>169</v>
      </c>
      <c r="K28" s="106">
        <v>528960</v>
      </c>
    </row>
    <row r="29" spans="1:11" ht="15.95" customHeight="1">
      <c r="A29" s="121" t="s">
        <v>168</v>
      </c>
      <c r="B29" s="108" t="s">
        <v>167</v>
      </c>
      <c r="C29" s="125" t="s">
        <v>109</v>
      </c>
      <c r="D29" s="124">
        <v>0.01</v>
      </c>
      <c r="E29" s="57">
        <v>0</v>
      </c>
      <c r="F29" s="57">
        <v>0</v>
      </c>
      <c r="G29" s="57">
        <v>0</v>
      </c>
      <c r="H29" s="57">
        <v>0</v>
      </c>
      <c r="I29" s="57">
        <v>0</v>
      </c>
      <c r="J29" s="107" t="s">
        <v>166</v>
      </c>
      <c r="K29" s="106">
        <v>75530.31</v>
      </c>
    </row>
    <row r="30" spans="1:11" s="89" customFormat="1" ht="15.95" customHeight="1">
      <c r="A30" s="97" t="s">
        <v>165</v>
      </c>
      <c r="B30" s="123" t="s">
        <v>164</v>
      </c>
      <c r="C30" s="123" t="s">
        <v>163</v>
      </c>
      <c r="D30" s="122">
        <v>0</v>
      </c>
      <c r="E30" s="122">
        <v>0</v>
      </c>
      <c r="F30" s="122">
        <v>0</v>
      </c>
      <c r="G30" s="122">
        <v>0</v>
      </c>
      <c r="H30" s="91">
        <v>4000</v>
      </c>
      <c r="I30" s="91">
        <v>63500</v>
      </c>
      <c r="J30" s="95" t="s">
        <v>162</v>
      </c>
      <c r="K30" s="55">
        <v>183546.85</v>
      </c>
    </row>
    <row r="31" spans="1:11" ht="15.95" customHeight="1">
      <c r="A31" s="121" t="s">
        <v>161</v>
      </c>
      <c r="B31" s="108" t="s">
        <v>160</v>
      </c>
      <c r="C31" s="98" t="s">
        <v>133</v>
      </c>
      <c r="D31" s="120">
        <v>2.9999999999999997E-4</v>
      </c>
      <c r="E31" s="57">
        <v>0</v>
      </c>
      <c r="F31" s="57">
        <v>0</v>
      </c>
      <c r="G31" s="57">
        <v>0</v>
      </c>
      <c r="H31" s="57">
        <v>0</v>
      </c>
      <c r="I31" s="57">
        <v>0</v>
      </c>
      <c r="J31" s="107" t="s">
        <v>159</v>
      </c>
      <c r="K31" s="106">
        <v>14231.23</v>
      </c>
    </row>
    <row r="32" spans="1:11" s="113" customFormat="1" ht="17.25" customHeight="1">
      <c r="A32" s="117" t="s">
        <v>158</v>
      </c>
      <c r="B32" s="92">
        <v>0</v>
      </c>
      <c r="C32" s="119" t="s">
        <v>157</v>
      </c>
      <c r="D32" s="92">
        <v>0</v>
      </c>
      <c r="E32" s="92">
        <v>0</v>
      </c>
      <c r="F32" s="92">
        <v>0</v>
      </c>
      <c r="G32" s="118"/>
      <c r="H32" s="91">
        <v>800</v>
      </c>
      <c r="I32" s="91">
        <v>1500</v>
      </c>
      <c r="J32" s="107" t="s">
        <v>156</v>
      </c>
      <c r="K32" s="106"/>
    </row>
    <row r="33" spans="1:14" s="113" customFormat="1" ht="22.5" customHeight="1">
      <c r="A33" s="117" t="s">
        <v>155</v>
      </c>
      <c r="B33" s="92">
        <v>0</v>
      </c>
      <c r="C33" s="116" t="s">
        <v>154</v>
      </c>
      <c r="D33" s="92">
        <v>0</v>
      </c>
      <c r="E33" s="92">
        <v>0</v>
      </c>
      <c r="F33" s="92">
        <v>0</v>
      </c>
      <c r="G33" s="115">
        <v>3600</v>
      </c>
      <c r="H33" s="114">
        <v>0</v>
      </c>
      <c r="I33" s="114">
        <v>0</v>
      </c>
      <c r="J33" s="107" t="s">
        <v>153</v>
      </c>
      <c r="K33" s="106">
        <v>14400</v>
      </c>
    </row>
    <row r="34" spans="1:14" ht="15.95" customHeight="1">
      <c r="A34" s="104" t="s">
        <v>152</v>
      </c>
      <c r="B34" s="102"/>
      <c r="C34" s="102"/>
      <c r="D34" s="103"/>
      <c r="E34" s="103"/>
      <c r="F34" s="103"/>
      <c r="G34" s="102"/>
      <c r="H34" s="102"/>
      <c r="I34" s="102"/>
      <c r="J34" s="102"/>
      <c r="K34" s="100">
        <f>SUM(K35:K35)</f>
        <v>0</v>
      </c>
    </row>
    <row r="35" spans="1:14" ht="14.25" customHeight="1">
      <c r="A35" s="57">
        <v>0</v>
      </c>
      <c r="B35" s="57">
        <v>0</v>
      </c>
      <c r="C35" s="57">
        <v>0</v>
      </c>
      <c r="D35" s="57">
        <v>0</v>
      </c>
      <c r="E35" s="57">
        <v>0</v>
      </c>
      <c r="F35" s="57">
        <v>0</v>
      </c>
      <c r="G35" s="57">
        <v>0</v>
      </c>
      <c r="H35" s="57">
        <v>0</v>
      </c>
      <c r="I35" s="57">
        <v>0</v>
      </c>
      <c r="J35" s="57">
        <v>0</v>
      </c>
      <c r="K35" s="105">
        <v>0</v>
      </c>
    </row>
    <row r="36" spans="1:14" ht="15.95" customHeight="1">
      <c r="A36" s="104" t="s">
        <v>151</v>
      </c>
      <c r="B36" s="102"/>
      <c r="C36" s="102"/>
      <c r="D36" s="103"/>
      <c r="E36" s="103"/>
      <c r="F36" s="103"/>
      <c r="G36" s="102"/>
      <c r="H36" s="102"/>
      <c r="I36" s="102"/>
      <c r="J36" s="102"/>
      <c r="K36" s="100">
        <f>SUM(K37:K39)</f>
        <v>86413.86</v>
      </c>
    </row>
    <row r="37" spans="1:14" ht="20.25" customHeight="1">
      <c r="A37" s="109" t="s">
        <v>150</v>
      </c>
      <c r="B37" s="108" t="s">
        <v>149</v>
      </c>
      <c r="C37" s="57">
        <v>0</v>
      </c>
      <c r="D37" s="112" t="s">
        <v>148</v>
      </c>
      <c r="E37" s="57">
        <v>0</v>
      </c>
      <c r="F37" s="57">
        <v>0</v>
      </c>
      <c r="G37" s="57">
        <v>0</v>
      </c>
      <c r="H37" s="79">
        <v>0</v>
      </c>
      <c r="I37" s="79">
        <v>0</v>
      </c>
      <c r="J37" s="111" t="s">
        <v>147</v>
      </c>
      <c r="K37" s="106">
        <v>86413.86</v>
      </c>
    </row>
    <row r="38" spans="1:14" ht="15.95" customHeight="1">
      <c r="A38" s="109" t="s">
        <v>146</v>
      </c>
      <c r="B38" s="110" t="s">
        <v>145</v>
      </c>
      <c r="C38" s="98" t="s">
        <v>139</v>
      </c>
      <c r="D38" s="57">
        <v>0</v>
      </c>
      <c r="E38" s="57">
        <v>0</v>
      </c>
      <c r="F38" s="57">
        <v>0</v>
      </c>
      <c r="G38" s="57">
        <v>0</v>
      </c>
      <c r="H38" s="63" t="s">
        <v>144</v>
      </c>
      <c r="I38" s="63" t="s">
        <v>143</v>
      </c>
      <c r="J38" s="107" t="s">
        <v>142</v>
      </c>
      <c r="K38" s="106"/>
    </row>
    <row r="39" spans="1:14" ht="15.95" customHeight="1">
      <c r="A39" s="109" t="s">
        <v>141</v>
      </c>
      <c r="B39" s="108" t="s">
        <v>140</v>
      </c>
      <c r="C39" s="98" t="s">
        <v>139</v>
      </c>
      <c r="D39" s="57">
        <v>0</v>
      </c>
      <c r="E39" s="57">
        <v>0</v>
      </c>
      <c r="F39" s="57">
        <v>0</v>
      </c>
      <c r="G39" s="57">
        <v>0</v>
      </c>
      <c r="H39" s="63">
        <v>1200</v>
      </c>
      <c r="I39" s="63">
        <v>14200</v>
      </c>
      <c r="J39" s="107" t="s">
        <v>138</v>
      </c>
      <c r="K39" s="106"/>
    </row>
    <row r="40" spans="1:14" ht="15.95" customHeight="1">
      <c r="A40" s="104" t="s">
        <v>137</v>
      </c>
      <c r="B40" s="102"/>
      <c r="C40" s="102"/>
      <c r="D40" s="103"/>
      <c r="E40" s="103"/>
      <c r="F40" s="103"/>
      <c r="G40" s="102"/>
      <c r="H40" s="102"/>
      <c r="I40" s="102"/>
      <c r="J40" s="101"/>
      <c r="K40" s="100">
        <f>SUM(K41)</f>
        <v>0</v>
      </c>
    </row>
    <row r="41" spans="1:14" ht="4.5" customHeight="1">
      <c r="A41" s="57">
        <v>0</v>
      </c>
      <c r="B41" s="57">
        <v>0</v>
      </c>
      <c r="C41" s="57">
        <v>0</v>
      </c>
      <c r="D41" s="57">
        <v>0</v>
      </c>
      <c r="E41" s="57">
        <v>0</v>
      </c>
      <c r="F41" s="57">
        <v>0</v>
      </c>
      <c r="G41" s="57">
        <v>0</v>
      </c>
      <c r="H41" s="57">
        <v>0</v>
      </c>
      <c r="I41" s="57">
        <v>0</v>
      </c>
      <c r="J41" s="79">
        <v>0</v>
      </c>
      <c r="K41" s="105">
        <v>0</v>
      </c>
    </row>
    <row r="42" spans="1:14" ht="15.95" customHeight="1">
      <c r="A42" s="104" t="s">
        <v>136</v>
      </c>
      <c r="B42" s="102"/>
      <c r="C42" s="102"/>
      <c r="D42" s="103"/>
      <c r="E42" s="103"/>
      <c r="F42" s="103"/>
      <c r="G42" s="102"/>
      <c r="H42" s="102"/>
      <c r="I42" s="102"/>
      <c r="J42" s="101"/>
      <c r="K42" s="100">
        <f>+K47+K46+K44+K43</f>
        <v>2796624.77</v>
      </c>
    </row>
    <row r="43" spans="1:14" s="54" customFormat="1" ht="15.95" customHeight="1">
      <c r="A43" s="97" t="s">
        <v>120</v>
      </c>
      <c r="B43" s="82" t="s">
        <v>119</v>
      </c>
      <c r="C43" s="98" t="s">
        <v>133</v>
      </c>
      <c r="D43" s="58">
        <v>0.3402</v>
      </c>
      <c r="E43" s="57">
        <v>0</v>
      </c>
      <c r="F43" s="57">
        <v>0</v>
      </c>
      <c r="G43" s="57">
        <v>0</v>
      </c>
      <c r="H43" s="57">
        <v>0</v>
      </c>
      <c r="I43" s="57">
        <v>0</v>
      </c>
      <c r="J43" s="79">
        <v>0</v>
      </c>
      <c r="K43" s="55">
        <v>1367238.86</v>
      </c>
    </row>
    <row r="44" spans="1:14" s="54" customFormat="1" ht="15.95" customHeight="1">
      <c r="A44" s="97" t="s">
        <v>135</v>
      </c>
      <c r="B44" s="99" t="s">
        <v>134</v>
      </c>
      <c r="C44" s="98" t="s">
        <v>133</v>
      </c>
      <c r="D44" s="57">
        <v>0</v>
      </c>
      <c r="E44" s="57">
        <v>0</v>
      </c>
      <c r="F44" s="57">
        <v>0</v>
      </c>
      <c r="G44" s="57">
        <v>0</v>
      </c>
      <c r="H44" s="57">
        <v>0</v>
      </c>
      <c r="I44" s="57">
        <v>0</v>
      </c>
      <c r="J44" s="79">
        <v>0</v>
      </c>
      <c r="K44" s="55">
        <v>1385029.9</v>
      </c>
      <c r="N44" s="62"/>
    </row>
    <row r="45" spans="1:14" s="54" customFormat="1" ht="15.95" customHeight="1">
      <c r="A45" s="97" t="s">
        <v>132</v>
      </c>
      <c r="B45" s="59" t="s">
        <v>131</v>
      </c>
      <c r="C45" s="59" t="s">
        <v>109</v>
      </c>
      <c r="D45" s="57">
        <v>0</v>
      </c>
      <c r="E45" s="57">
        <v>0</v>
      </c>
      <c r="F45" s="57">
        <v>0</v>
      </c>
      <c r="G45" s="57">
        <v>0</v>
      </c>
      <c r="H45" s="57">
        <v>0</v>
      </c>
      <c r="I45" s="57">
        <v>0</v>
      </c>
      <c r="J45" s="95" t="s">
        <v>130</v>
      </c>
      <c r="K45" s="55"/>
    </row>
    <row r="46" spans="1:14" s="89" customFormat="1" ht="15.95" customHeight="1">
      <c r="A46" s="97" t="s">
        <v>129</v>
      </c>
      <c r="B46" s="93" t="s">
        <v>128</v>
      </c>
      <c r="C46" s="59" t="s">
        <v>109</v>
      </c>
      <c r="D46" s="96">
        <v>0.378</v>
      </c>
      <c r="E46" s="92">
        <v>0</v>
      </c>
      <c r="F46" s="92">
        <v>0</v>
      </c>
      <c r="G46" s="92">
        <v>0</v>
      </c>
      <c r="H46" s="92">
        <v>0</v>
      </c>
      <c r="I46" s="92">
        <v>0</v>
      </c>
      <c r="J46" s="95" t="s">
        <v>127</v>
      </c>
      <c r="K46" s="55">
        <v>41231.01</v>
      </c>
    </row>
    <row r="47" spans="1:14" s="89" customFormat="1" ht="15.95" customHeight="1">
      <c r="A47" s="94" t="s">
        <v>126</v>
      </c>
      <c r="B47" s="90" t="s">
        <v>125</v>
      </c>
      <c r="C47" s="93" t="s">
        <v>124</v>
      </c>
      <c r="D47" s="92">
        <v>0</v>
      </c>
      <c r="E47" s="92">
        <v>0</v>
      </c>
      <c r="F47" s="92">
        <v>0</v>
      </c>
      <c r="G47" s="92">
        <v>0</v>
      </c>
      <c r="H47" s="91">
        <v>3235</v>
      </c>
      <c r="I47" s="91">
        <v>10250</v>
      </c>
      <c r="J47" s="90" t="s">
        <v>123</v>
      </c>
      <c r="K47" s="55">
        <v>3125</v>
      </c>
    </row>
    <row r="48" spans="1:14" s="54" customFormat="1" ht="15.95" hidden="1" customHeight="1">
      <c r="A48" s="60"/>
      <c r="B48" s="59"/>
      <c r="C48" s="59"/>
      <c r="D48" s="58"/>
      <c r="E48" s="57"/>
      <c r="F48" s="57"/>
      <c r="G48" s="57"/>
      <c r="H48" s="57"/>
      <c r="I48" s="57"/>
      <c r="J48" s="56"/>
      <c r="K48" s="55"/>
    </row>
    <row r="49" spans="1:14" s="54" customFormat="1" ht="15.95" customHeight="1">
      <c r="A49" s="83" t="s">
        <v>122</v>
      </c>
      <c r="B49" s="88"/>
      <c r="C49" s="88"/>
      <c r="D49" s="87"/>
      <c r="E49" s="86"/>
      <c r="F49" s="86"/>
      <c r="G49" s="86"/>
      <c r="H49" s="86"/>
      <c r="I49" s="86"/>
      <c r="J49" s="85"/>
      <c r="K49" s="84">
        <f>SUM(K50:K53)</f>
        <v>31547019.140000001</v>
      </c>
    </row>
    <row r="50" spans="1:14" s="54" customFormat="1" ht="15.95" customHeight="1">
      <c r="A50" s="83" t="s">
        <v>121</v>
      </c>
      <c r="B50" s="69"/>
      <c r="C50" s="69"/>
      <c r="D50" s="68"/>
      <c r="E50" s="67"/>
      <c r="F50" s="67"/>
      <c r="G50" s="67"/>
      <c r="H50" s="67"/>
      <c r="I50" s="67"/>
      <c r="J50" s="65"/>
      <c r="K50" s="64"/>
    </row>
    <row r="51" spans="1:14" s="54" customFormat="1" ht="15.95" customHeight="1">
      <c r="A51" s="60" t="s">
        <v>120</v>
      </c>
      <c r="B51" s="82" t="s">
        <v>119</v>
      </c>
      <c r="C51" s="59" t="s">
        <v>109</v>
      </c>
      <c r="D51" s="58">
        <v>0.48499999999999999</v>
      </c>
      <c r="E51" s="57">
        <v>0</v>
      </c>
      <c r="F51" s="57">
        <v>0</v>
      </c>
      <c r="G51" s="57">
        <v>0</v>
      </c>
      <c r="H51" s="57">
        <v>0</v>
      </c>
      <c r="I51" s="57">
        <v>0</v>
      </c>
      <c r="J51" s="57">
        <v>0</v>
      </c>
      <c r="K51" s="55">
        <v>29145677.170000002</v>
      </c>
    </row>
    <row r="52" spans="1:14" s="54" customFormat="1" ht="20.25" customHeight="1">
      <c r="A52" s="60" t="s">
        <v>118</v>
      </c>
      <c r="B52" s="81" t="s">
        <v>117</v>
      </c>
      <c r="C52" s="59" t="s">
        <v>109</v>
      </c>
      <c r="D52" s="57">
        <v>0</v>
      </c>
      <c r="E52" s="57">
        <v>0</v>
      </c>
      <c r="F52" s="57">
        <v>0</v>
      </c>
      <c r="G52" s="57">
        <v>0</v>
      </c>
      <c r="H52" s="80">
        <v>7948</v>
      </c>
      <c r="I52" s="80">
        <v>580442.93999999994</v>
      </c>
      <c r="J52" s="57">
        <v>0</v>
      </c>
      <c r="K52" s="55">
        <v>2401341.9700000002</v>
      </c>
    </row>
    <row r="53" spans="1:14" s="54" customFormat="1" ht="15.95" hidden="1" customHeight="1">
      <c r="A53" s="60"/>
      <c r="B53" s="59"/>
      <c r="C53" s="59"/>
      <c r="D53" s="58"/>
      <c r="E53" s="57"/>
      <c r="F53" s="57"/>
      <c r="G53" s="57"/>
      <c r="H53" s="79"/>
      <c r="I53" s="79"/>
      <c r="J53" s="56"/>
      <c r="K53" s="55"/>
    </row>
    <row r="54" spans="1:14" s="54" customFormat="1" ht="15.95" customHeight="1">
      <c r="A54" s="78" t="s">
        <v>116</v>
      </c>
      <c r="B54" s="77"/>
      <c r="C54" s="77"/>
      <c r="D54" s="76"/>
      <c r="E54" s="75"/>
      <c r="F54" s="75"/>
      <c r="G54" s="75"/>
      <c r="H54" s="74"/>
      <c r="I54" s="74"/>
      <c r="J54" s="73"/>
      <c r="K54" s="72">
        <f>SUM(K55:K59)</f>
        <v>3047607</v>
      </c>
    </row>
    <row r="55" spans="1:14" s="54" customFormat="1" ht="15.95" customHeight="1">
      <c r="A55" s="71" t="s">
        <v>115</v>
      </c>
      <c r="B55" s="70"/>
      <c r="C55" s="69"/>
      <c r="D55" s="68"/>
      <c r="E55" s="67"/>
      <c r="F55" s="67"/>
      <c r="G55" s="67"/>
      <c r="H55" s="66"/>
      <c r="I55" s="66"/>
      <c r="J55" s="65"/>
      <c r="K55" s="64"/>
    </row>
    <row r="56" spans="1:14" s="54" customFormat="1" ht="15.95" customHeight="1">
      <c r="A56" s="60" t="s">
        <v>114</v>
      </c>
      <c r="B56" s="59" t="s">
        <v>113</v>
      </c>
      <c r="C56" s="59" t="s">
        <v>109</v>
      </c>
      <c r="D56" s="57">
        <v>0</v>
      </c>
      <c r="E56" s="57">
        <v>0</v>
      </c>
      <c r="F56" s="57">
        <v>0</v>
      </c>
      <c r="G56" s="57">
        <v>0</v>
      </c>
      <c r="H56" s="63">
        <v>6900</v>
      </c>
      <c r="I56" s="63">
        <v>7800</v>
      </c>
      <c r="J56" s="57">
        <v>0</v>
      </c>
      <c r="K56" s="55">
        <v>3021206</v>
      </c>
      <c r="N56" s="62"/>
    </row>
    <row r="57" spans="1:14" s="54" customFormat="1" ht="15.95" customHeight="1">
      <c r="A57" s="60" t="s">
        <v>112</v>
      </c>
      <c r="B57" s="59" t="s">
        <v>110</v>
      </c>
      <c r="C57" s="59" t="s">
        <v>109</v>
      </c>
      <c r="D57" s="61">
        <v>0.02</v>
      </c>
      <c r="E57" s="57">
        <v>0</v>
      </c>
      <c r="F57" s="57">
        <v>0</v>
      </c>
      <c r="G57" s="57">
        <v>0</v>
      </c>
      <c r="H57" s="57">
        <v>0</v>
      </c>
      <c r="I57" s="57">
        <v>0</v>
      </c>
      <c r="J57" s="57">
        <v>0</v>
      </c>
      <c r="K57" s="55">
        <v>26401</v>
      </c>
    </row>
    <row r="58" spans="1:14" s="54" customFormat="1" ht="15.95" customHeight="1">
      <c r="A58" s="60" t="s">
        <v>111</v>
      </c>
      <c r="B58" s="59" t="s">
        <v>110</v>
      </c>
      <c r="C58" s="59" t="s">
        <v>109</v>
      </c>
      <c r="D58" s="61">
        <v>0.34</v>
      </c>
      <c r="E58" s="57">
        <v>0</v>
      </c>
      <c r="F58" s="57">
        <v>0</v>
      </c>
      <c r="G58" s="57">
        <v>0</v>
      </c>
      <c r="H58" s="57">
        <v>0</v>
      </c>
      <c r="I58" s="57">
        <v>0</v>
      </c>
      <c r="J58" s="57">
        <v>0</v>
      </c>
      <c r="K58" s="55"/>
    </row>
    <row r="59" spans="1:14" s="54" customFormat="1" ht="15.95" hidden="1" customHeight="1">
      <c r="A59" s="60"/>
      <c r="B59" s="59"/>
      <c r="C59" s="59"/>
      <c r="D59" s="58"/>
      <c r="E59" s="57"/>
      <c r="F59" s="57"/>
      <c r="G59" s="57"/>
      <c r="H59" s="57"/>
      <c r="I59" s="57"/>
      <c r="J59" s="56"/>
      <c r="K59" s="55"/>
    </row>
    <row r="60" spans="1:14" s="48" customFormat="1" ht="26.25" customHeight="1">
      <c r="A60" s="53" t="s">
        <v>108</v>
      </c>
      <c r="B60" s="51"/>
      <c r="C60" s="51"/>
      <c r="D60" s="52"/>
      <c r="E60" s="52"/>
      <c r="F60" s="52"/>
      <c r="G60" s="51"/>
      <c r="H60" s="51"/>
      <c r="I60" s="51"/>
      <c r="J60" s="50"/>
      <c r="K60" s="49">
        <f>+K14+K16+K22+K26+K34+K36+K40+K42+K49+K54</f>
        <v>51369366.579999998</v>
      </c>
    </row>
    <row r="61" spans="1:14">
      <c r="A61" s="47"/>
      <c r="B61" s="46"/>
      <c r="C61" s="46"/>
      <c r="D61" s="46"/>
      <c r="E61" s="46"/>
      <c r="F61" s="46"/>
      <c r="G61" s="46"/>
      <c r="H61" s="46"/>
      <c r="I61" s="46"/>
      <c r="J61" s="46"/>
      <c r="K61" s="46"/>
    </row>
    <row r="63" spans="1:14">
      <c r="A63" s="45"/>
    </row>
    <row r="64" spans="1:14">
      <c r="A64" s="44"/>
    </row>
    <row r="65" spans="1:1">
      <c r="A65" s="44"/>
    </row>
    <row r="66" spans="1:1">
      <c r="A66" s="44"/>
    </row>
    <row r="67" spans="1:1">
      <c r="A67" s="44"/>
    </row>
    <row r="68" spans="1:1">
      <c r="A68" s="43"/>
    </row>
    <row r="69" spans="1:1">
      <c r="A69" s="43"/>
    </row>
    <row r="70" spans="1:1">
      <c r="A70" s="43"/>
    </row>
    <row r="71" spans="1:1">
      <c r="A71" s="43"/>
    </row>
    <row r="72" spans="1:1">
      <c r="A72" s="43"/>
    </row>
    <row r="73" spans="1:1">
      <c r="A73" s="43"/>
    </row>
    <row r="74" spans="1:1">
      <c r="A74" s="42"/>
    </row>
  </sheetData>
  <mergeCells count="12">
    <mergeCell ref="A11:A12"/>
    <mergeCell ref="B11:B12"/>
    <mergeCell ref="C11:C12"/>
    <mergeCell ref="D11:D12"/>
    <mergeCell ref="E11:F11"/>
    <mergeCell ref="G11:G12"/>
    <mergeCell ref="H11:I11"/>
    <mergeCell ref="J11:J12"/>
    <mergeCell ref="K11:K12"/>
    <mergeCell ref="E8:F8"/>
    <mergeCell ref="H8:I8"/>
    <mergeCell ref="H10:I10"/>
  </mergeCells>
  <pageMargins left="0" right="0" top="0" bottom="0" header="0.31496062992125984" footer="0.31496062992125984"/>
  <pageSetup paperSize="9" scale="5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K49"/>
  <sheetViews>
    <sheetView showGridLines="0" workbookViewId="0"/>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177" customFormat="1" ht="21" customHeight="1">
      <c r="A1" s="175" t="s">
        <v>235</v>
      </c>
      <c r="B1" s="176"/>
    </row>
    <row r="2" spans="1:11" s="177" customFormat="1" ht="19.5" customHeight="1">
      <c r="A2" s="178" t="s">
        <v>1108</v>
      </c>
      <c r="B2" s="176"/>
      <c r="C2" s="179"/>
      <c r="D2" s="179"/>
      <c r="E2" s="179"/>
      <c r="F2" s="179"/>
      <c r="G2" s="179"/>
      <c r="H2" s="179"/>
      <c r="I2" s="179"/>
      <c r="J2" s="179"/>
      <c r="K2" s="180" t="s">
        <v>234</v>
      </c>
    </row>
    <row r="3" spans="1:11" s="177" customFormat="1" ht="22.5" customHeight="1">
      <c r="A3" s="181" t="s">
        <v>802</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ht="18.75" customHeight="1">
      <c r="A5" s="415"/>
      <c r="B5" s="416"/>
      <c r="C5" s="416"/>
      <c r="D5" s="418"/>
      <c r="E5" s="418"/>
      <c r="F5" s="418"/>
      <c r="G5" s="248"/>
      <c r="H5" s="419"/>
      <c r="I5" s="419"/>
      <c r="K5" s="419"/>
    </row>
    <row r="6" spans="1:11" s="177" customFormat="1" ht="18.75" customHeight="1">
      <c r="A6" s="248"/>
      <c r="D6" s="419"/>
      <c r="E6" s="419"/>
      <c r="F6" s="419"/>
      <c r="G6" s="248"/>
      <c r="H6" s="419"/>
      <c r="I6" s="419"/>
      <c r="K6" s="419"/>
    </row>
    <row r="7" spans="1:11" s="177" customFormat="1">
      <c r="A7" s="184" t="s">
        <v>228</v>
      </c>
      <c r="B7" s="184" t="s">
        <v>227</v>
      </c>
      <c r="C7" s="184" t="s">
        <v>226</v>
      </c>
      <c r="D7" s="184"/>
      <c r="E7" s="183" t="s">
        <v>225</v>
      </c>
      <c r="F7" s="183"/>
      <c r="G7" s="184" t="s">
        <v>224</v>
      </c>
      <c r="H7" s="1381" t="s">
        <v>223</v>
      </c>
      <c r="I7" s="1381"/>
      <c r="J7" s="184" t="s">
        <v>222</v>
      </c>
      <c r="K7" s="184" t="s">
        <v>221</v>
      </c>
    </row>
    <row r="8" spans="1:11" s="186" customFormat="1">
      <c r="A8" s="1382" t="s">
        <v>220</v>
      </c>
      <c r="B8" s="1379" t="s">
        <v>219</v>
      </c>
      <c r="C8" s="1379" t="s">
        <v>218</v>
      </c>
      <c r="D8" s="1379" t="s">
        <v>217</v>
      </c>
      <c r="E8" s="1379" t="s">
        <v>216</v>
      </c>
      <c r="F8" s="1379"/>
      <c r="G8" s="1379" t="s">
        <v>215</v>
      </c>
      <c r="H8" s="1379" t="s">
        <v>214</v>
      </c>
      <c r="I8" s="1379"/>
      <c r="J8" s="1379" t="s">
        <v>240</v>
      </c>
      <c r="K8" s="1380" t="s">
        <v>212</v>
      </c>
    </row>
    <row r="9" spans="1:11" s="186" customFormat="1">
      <c r="A9" s="1382"/>
      <c r="B9" s="1379"/>
      <c r="C9" s="1379"/>
      <c r="D9" s="1379"/>
      <c r="E9" s="187" t="s">
        <v>211</v>
      </c>
      <c r="F9" s="187" t="s">
        <v>210</v>
      </c>
      <c r="G9" s="1379"/>
      <c r="H9" s="187" t="s">
        <v>211</v>
      </c>
      <c r="I9" s="187" t="s">
        <v>210</v>
      </c>
      <c r="J9" s="1379"/>
      <c r="K9" s="1380"/>
    </row>
    <row r="10" spans="1:11" ht="15.95" customHeight="1">
      <c r="A10" s="188" t="s">
        <v>208</v>
      </c>
      <c r="B10" s="189"/>
      <c r="C10" s="189"/>
      <c r="D10" s="189"/>
      <c r="E10" s="189"/>
      <c r="F10" s="189"/>
      <c r="G10" s="189"/>
      <c r="H10" s="189"/>
      <c r="I10" s="189"/>
      <c r="J10" s="189"/>
      <c r="K10" s="190">
        <f>SUM(K11)</f>
        <v>0</v>
      </c>
    </row>
    <row r="11" spans="1:11" ht="19.5" customHeight="1">
      <c r="A11" s="192"/>
      <c r="B11" s="193"/>
      <c r="C11" s="193"/>
      <c r="D11" s="194"/>
      <c r="E11" s="194"/>
      <c r="F11" s="194"/>
      <c r="G11" s="193"/>
      <c r="H11" s="193"/>
      <c r="I11" s="193"/>
      <c r="J11" s="193"/>
      <c r="K11" s="195"/>
    </row>
    <row r="12" spans="1:11" ht="15.95" customHeight="1">
      <c r="A12" s="188" t="s">
        <v>207</v>
      </c>
      <c r="B12" s="189"/>
      <c r="C12" s="189"/>
      <c r="D12" s="196"/>
      <c r="E12" s="196"/>
      <c r="F12" s="196"/>
      <c r="G12" s="189"/>
      <c r="H12" s="189"/>
      <c r="I12" s="189"/>
      <c r="J12" s="189"/>
      <c r="K12" s="190">
        <f>SUM(K13:K22)</f>
        <v>12113113.27</v>
      </c>
    </row>
    <row r="13" spans="1:11" ht="15.95" customHeight="1">
      <c r="A13" s="192" t="s">
        <v>1109</v>
      </c>
      <c r="B13" s="193" t="s">
        <v>1110</v>
      </c>
      <c r="C13" s="193" t="s">
        <v>109</v>
      </c>
      <c r="D13" s="194">
        <v>1.4999999999999999E-2</v>
      </c>
      <c r="E13" s="194">
        <v>5.0000000000000001E-3</v>
      </c>
      <c r="F13" s="194">
        <v>0.06</v>
      </c>
      <c r="G13" s="193"/>
      <c r="H13" s="193"/>
      <c r="I13" s="193"/>
      <c r="J13" s="193" t="s">
        <v>1111</v>
      </c>
      <c r="K13" s="195">
        <v>5993823.6100000003</v>
      </c>
    </row>
    <row r="14" spans="1:11" ht="15.95" customHeight="1">
      <c r="A14" s="192" t="s">
        <v>807</v>
      </c>
      <c r="B14" s="193" t="s">
        <v>1112</v>
      </c>
      <c r="C14" s="193" t="s">
        <v>205</v>
      </c>
      <c r="D14" s="251">
        <v>1.1000000000000001E-3</v>
      </c>
      <c r="E14" s="194"/>
      <c r="F14" s="194"/>
      <c r="G14" s="193"/>
      <c r="H14" s="193"/>
      <c r="I14" s="193"/>
      <c r="J14" s="193" t="s">
        <v>1111</v>
      </c>
      <c r="K14" s="195">
        <v>2348040.9</v>
      </c>
    </row>
    <row r="15" spans="1:11" ht="15.95" customHeight="1">
      <c r="A15" s="192" t="s">
        <v>248</v>
      </c>
      <c r="B15" s="193" t="s">
        <v>1113</v>
      </c>
      <c r="C15" s="193" t="s">
        <v>109</v>
      </c>
      <c r="D15" s="194">
        <v>0.12</v>
      </c>
      <c r="E15" s="194"/>
      <c r="F15" s="194"/>
      <c r="G15" s="193"/>
      <c r="H15" s="193"/>
      <c r="I15" s="193"/>
      <c r="J15" s="193" t="s">
        <v>1111</v>
      </c>
      <c r="K15" s="195">
        <v>2201566.3199999998</v>
      </c>
    </row>
    <row r="16" spans="1:11" ht="15.95" customHeight="1">
      <c r="A16" s="192" t="s">
        <v>1114</v>
      </c>
      <c r="B16" s="193" t="s">
        <v>1115</v>
      </c>
      <c r="C16" s="193" t="s">
        <v>205</v>
      </c>
      <c r="D16" s="194">
        <v>0.25</v>
      </c>
      <c r="E16" s="194"/>
      <c r="F16" s="194"/>
      <c r="G16" s="193"/>
      <c r="H16" s="193"/>
      <c r="I16" s="193"/>
      <c r="J16" s="193" t="s">
        <v>1111</v>
      </c>
      <c r="K16" s="195">
        <v>1379682.44</v>
      </c>
    </row>
    <row r="17" spans="1:11" ht="15.95" customHeight="1">
      <c r="A17" s="192" t="s">
        <v>1116</v>
      </c>
      <c r="B17" s="193" t="s">
        <v>1117</v>
      </c>
      <c r="C17" s="193" t="s">
        <v>799</v>
      </c>
      <c r="D17" s="194"/>
      <c r="E17" s="194"/>
      <c r="F17" s="194"/>
      <c r="G17" s="193">
        <v>190000</v>
      </c>
      <c r="H17" s="193"/>
      <c r="I17" s="193"/>
      <c r="J17" s="193" t="s">
        <v>1111</v>
      </c>
      <c r="K17" s="195">
        <v>190000</v>
      </c>
    </row>
    <row r="18" spans="1:11" ht="15.95" customHeight="1">
      <c r="A18" s="192"/>
      <c r="B18" s="193"/>
      <c r="C18" s="193"/>
      <c r="D18" s="194"/>
      <c r="E18" s="194"/>
      <c r="F18" s="194"/>
      <c r="G18" s="193"/>
      <c r="H18" s="193"/>
      <c r="I18" s="193"/>
      <c r="J18" s="193"/>
      <c r="K18" s="195"/>
    </row>
    <row r="19" spans="1:11" ht="15.95" customHeight="1">
      <c r="A19" s="192"/>
      <c r="B19" s="193"/>
      <c r="C19" s="193"/>
      <c r="D19" s="194"/>
      <c r="E19" s="194"/>
      <c r="F19" s="194"/>
      <c r="G19" s="193"/>
      <c r="H19" s="193"/>
      <c r="I19" s="193"/>
      <c r="J19" s="193"/>
      <c r="K19" s="195"/>
    </row>
    <row r="20" spans="1:11" ht="15.95" customHeight="1">
      <c r="A20" s="192"/>
      <c r="B20" s="193"/>
      <c r="C20" s="193"/>
      <c r="D20" s="194"/>
      <c r="E20" s="194"/>
      <c r="F20" s="194"/>
      <c r="G20" s="193"/>
      <c r="H20" s="193"/>
      <c r="I20" s="193"/>
      <c r="J20" s="193"/>
      <c r="K20" s="195"/>
    </row>
    <row r="21" spans="1:11" ht="15.95" customHeight="1">
      <c r="A21" s="192"/>
      <c r="B21" s="193"/>
      <c r="C21" s="193"/>
      <c r="D21" s="194"/>
      <c r="E21" s="194"/>
      <c r="F21" s="194"/>
      <c r="G21" s="193"/>
      <c r="H21" s="193"/>
      <c r="I21" s="193"/>
      <c r="J21" s="193"/>
      <c r="K21" s="195"/>
    </row>
    <row r="22" spans="1:11" ht="15.95" customHeight="1">
      <c r="A22" s="192"/>
      <c r="B22" s="193"/>
      <c r="C22" s="193"/>
      <c r="D22" s="194"/>
      <c r="E22" s="194"/>
      <c r="F22" s="194"/>
      <c r="G22" s="193"/>
      <c r="H22" s="193"/>
      <c r="I22" s="193"/>
      <c r="J22" s="193"/>
      <c r="K22" s="195"/>
    </row>
    <row r="23" spans="1:11" s="177" customFormat="1" ht="15.95" customHeight="1">
      <c r="A23" s="209" t="s">
        <v>191</v>
      </c>
      <c r="B23" s="210"/>
      <c r="C23" s="210"/>
      <c r="D23" s="211"/>
      <c r="E23" s="211"/>
      <c r="F23" s="211"/>
      <c r="G23" s="210"/>
      <c r="H23" s="210"/>
      <c r="I23" s="210"/>
      <c r="J23" s="210"/>
      <c r="K23" s="213">
        <f>SUM(K24:K25)</f>
        <v>0</v>
      </c>
    </row>
    <row r="24" spans="1:11" s="177" customFormat="1" ht="15.95" customHeight="1">
      <c r="A24" s="192"/>
      <c r="B24" s="217"/>
      <c r="C24" s="217"/>
      <c r="D24" s="216"/>
      <c r="E24" s="216"/>
      <c r="F24" s="216"/>
      <c r="G24" s="217"/>
      <c r="H24" s="217"/>
      <c r="I24" s="217"/>
      <c r="J24" s="217"/>
      <c r="K24" s="219"/>
    </row>
    <row r="25" spans="1:11" s="177" customFormat="1" ht="15.95" customHeight="1">
      <c r="A25" s="192"/>
      <c r="B25" s="217"/>
      <c r="C25" s="217"/>
      <c r="D25" s="216"/>
      <c r="E25" s="216"/>
      <c r="F25" s="216"/>
      <c r="G25" s="217"/>
      <c r="H25" s="217"/>
      <c r="I25" s="217"/>
      <c r="J25" s="217"/>
      <c r="K25" s="219"/>
    </row>
    <row r="26" spans="1:11" ht="15.95" customHeight="1">
      <c r="A26" s="188" t="s">
        <v>179</v>
      </c>
      <c r="B26" s="189"/>
      <c r="C26" s="189"/>
      <c r="D26" s="196"/>
      <c r="E26" s="196"/>
      <c r="F26" s="196"/>
      <c r="G26" s="189"/>
      <c r="H26" s="189"/>
      <c r="I26" s="189"/>
      <c r="J26" s="189"/>
      <c r="K26" s="190">
        <f>SUM(K27:K35)</f>
        <v>2620401.5</v>
      </c>
    </row>
    <row r="27" spans="1:11" ht="15.95" customHeight="1">
      <c r="A27" s="192" t="s">
        <v>1118</v>
      </c>
      <c r="B27" s="193" t="s">
        <v>1119</v>
      </c>
      <c r="C27" s="193" t="s">
        <v>1119</v>
      </c>
      <c r="D27" s="194"/>
      <c r="E27" s="194"/>
      <c r="F27" s="194"/>
      <c r="G27" s="193"/>
      <c r="H27" s="193"/>
      <c r="I27" s="193"/>
      <c r="J27" s="193" t="s">
        <v>1111</v>
      </c>
      <c r="K27" s="195">
        <v>1376951.5</v>
      </c>
    </row>
    <row r="28" spans="1:11" ht="15.95" customHeight="1">
      <c r="A28" s="192" t="s">
        <v>262</v>
      </c>
      <c r="B28" s="193" t="s">
        <v>1120</v>
      </c>
      <c r="C28" s="193" t="s">
        <v>799</v>
      </c>
      <c r="D28" s="194"/>
      <c r="E28" s="194"/>
      <c r="F28" s="194"/>
      <c r="G28" s="193"/>
      <c r="H28" s="193"/>
      <c r="I28" s="193"/>
      <c r="J28" s="193" t="s">
        <v>1111</v>
      </c>
      <c r="K28" s="195">
        <v>1010000</v>
      </c>
    </row>
    <row r="29" spans="1:11" ht="15.95" customHeight="1">
      <c r="A29" s="192" t="s">
        <v>311</v>
      </c>
      <c r="B29" s="193" t="s">
        <v>1121</v>
      </c>
      <c r="C29" s="193" t="s">
        <v>1122</v>
      </c>
      <c r="D29" s="194"/>
      <c r="E29" s="194"/>
      <c r="F29" s="194"/>
      <c r="G29" s="193"/>
      <c r="H29" s="193"/>
      <c r="I29" s="193"/>
      <c r="J29" s="193" t="s">
        <v>1111</v>
      </c>
      <c r="K29" s="195">
        <v>169450</v>
      </c>
    </row>
    <row r="30" spans="1:11" ht="15.95" customHeight="1">
      <c r="A30" s="192" t="s">
        <v>1123</v>
      </c>
      <c r="B30" s="193" t="s">
        <v>1121</v>
      </c>
      <c r="C30" s="193" t="s">
        <v>1122</v>
      </c>
      <c r="D30" s="194"/>
      <c r="E30" s="194"/>
      <c r="F30" s="194"/>
      <c r="G30" s="193"/>
      <c r="H30" s="193"/>
      <c r="I30" s="193"/>
      <c r="J30" s="193" t="s">
        <v>1111</v>
      </c>
      <c r="K30" s="195">
        <v>52800</v>
      </c>
    </row>
    <row r="31" spans="1:11" ht="15.95" customHeight="1">
      <c r="A31" s="192" t="s">
        <v>1124</v>
      </c>
      <c r="B31" s="193" t="s">
        <v>1119</v>
      </c>
      <c r="C31" s="193" t="s">
        <v>1119</v>
      </c>
      <c r="D31" s="194"/>
      <c r="E31" s="194"/>
      <c r="F31" s="194"/>
      <c r="G31" s="193"/>
      <c r="H31" s="193"/>
      <c r="I31" s="193"/>
      <c r="J31" s="193" t="s">
        <v>1111</v>
      </c>
      <c r="K31" s="195">
        <v>11200</v>
      </c>
    </row>
    <row r="32" spans="1:11" ht="15.95" customHeight="1">
      <c r="A32" s="192" t="s">
        <v>1125</v>
      </c>
      <c r="B32" s="193" t="s">
        <v>1117</v>
      </c>
      <c r="C32" s="193" t="s">
        <v>1126</v>
      </c>
      <c r="D32" s="194"/>
      <c r="E32" s="194"/>
      <c r="F32" s="194"/>
      <c r="G32" s="193">
        <v>291000</v>
      </c>
      <c r="H32" s="193"/>
      <c r="I32" s="193"/>
      <c r="J32" s="193" t="s">
        <v>1111</v>
      </c>
      <c r="K32" s="195">
        <v>0</v>
      </c>
    </row>
    <row r="33" spans="1:11" ht="15.95" customHeight="1">
      <c r="A33" s="192" t="s">
        <v>1127</v>
      </c>
      <c r="B33" s="193" t="s">
        <v>1128</v>
      </c>
      <c r="C33" s="193" t="s">
        <v>1119</v>
      </c>
      <c r="D33" s="194"/>
      <c r="E33" s="194"/>
      <c r="F33" s="194"/>
      <c r="G33" s="193"/>
      <c r="H33" s="193"/>
      <c r="I33" s="193"/>
      <c r="J33" s="193" t="s">
        <v>1111</v>
      </c>
      <c r="K33" s="195">
        <v>0</v>
      </c>
    </row>
    <row r="34" spans="1:11" ht="15.95" customHeight="1">
      <c r="A34" s="192"/>
      <c r="B34" s="193"/>
      <c r="C34" s="193"/>
      <c r="D34" s="194"/>
      <c r="E34" s="194"/>
      <c r="F34" s="194"/>
      <c r="G34" s="193"/>
      <c r="H34" s="193"/>
      <c r="I34" s="193"/>
      <c r="J34" s="193"/>
      <c r="K34" s="195"/>
    </row>
    <row r="35" spans="1:11" ht="15.95" customHeight="1">
      <c r="A35" s="192"/>
      <c r="B35" s="193"/>
      <c r="C35" s="193"/>
      <c r="D35" s="194"/>
      <c r="E35" s="194"/>
      <c r="F35" s="194"/>
      <c r="G35" s="193"/>
      <c r="H35" s="193"/>
      <c r="I35" s="193"/>
      <c r="J35" s="193"/>
      <c r="K35" s="195"/>
    </row>
    <row r="36" spans="1:11" ht="15.95" customHeight="1">
      <c r="A36" s="188" t="s">
        <v>152</v>
      </c>
      <c r="B36" s="189"/>
      <c r="C36" s="189"/>
      <c r="D36" s="196"/>
      <c r="E36" s="196"/>
      <c r="F36" s="196"/>
      <c r="G36" s="189"/>
      <c r="H36" s="189"/>
      <c r="I36" s="189"/>
      <c r="J36" s="189"/>
      <c r="K36" s="190">
        <f>SUM(K37:K39)</f>
        <v>0</v>
      </c>
    </row>
    <row r="37" spans="1:11" ht="15.95" customHeight="1">
      <c r="A37" s="256"/>
      <c r="B37" s="193"/>
      <c r="C37" s="193"/>
      <c r="D37" s="194"/>
      <c r="E37" s="194"/>
      <c r="F37" s="194"/>
      <c r="G37" s="193"/>
      <c r="H37" s="193"/>
      <c r="I37" s="193"/>
      <c r="J37" s="193"/>
      <c r="K37" s="195"/>
    </row>
    <row r="38" spans="1:11" ht="15.95" customHeight="1">
      <c r="A38" s="256"/>
      <c r="B38" s="193"/>
      <c r="C38" s="193"/>
      <c r="D38" s="194"/>
      <c r="E38" s="194"/>
      <c r="F38" s="194"/>
      <c r="G38" s="193"/>
      <c r="H38" s="193"/>
      <c r="I38" s="193"/>
      <c r="J38" s="193"/>
      <c r="K38" s="195"/>
    </row>
    <row r="39" spans="1:11" ht="15.95" customHeight="1">
      <c r="A39" s="256"/>
      <c r="B39" s="193"/>
      <c r="C39" s="193"/>
      <c r="D39" s="194"/>
      <c r="E39" s="194"/>
      <c r="F39" s="194"/>
      <c r="G39" s="193"/>
      <c r="H39" s="193"/>
      <c r="I39" s="193"/>
      <c r="J39" s="193"/>
      <c r="K39" s="195"/>
    </row>
    <row r="40" spans="1:11" ht="15.95" customHeight="1">
      <c r="A40" s="188" t="s">
        <v>151</v>
      </c>
      <c r="B40" s="189"/>
      <c r="C40" s="189"/>
      <c r="D40" s="196"/>
      <c r="E40" s="196"/>
      <c r="F40" s="196"/>
      <c r="G40" s="189"/>
      <c r="H40" s="189"/>
      <c r="I40" s="189"/>
      <c r="J40" s="189"/>
      <c r="K40" s="190">
        <f>SUM(K41:K43)</f>
        <v>0</v>
      </c>
    </row>
    <row r="41" spans="1:11" ht="15.95" customHeight="1">
      <c r="A41" s="256"/>
      <c r="B41" s="193"/>
      <c r="C41" s="193"/>
      <c r="D41" s="194"/>
      <c r="E41" s="194"/>
      <c r="F41" s="194"/>
      <c r="G41" s="193"/>
      <c r="H41" s="193"/>
      <c r="I41" s="193"/>
      <c r="J41" s="193"/>
      <c r="K41" s="195"/>
    </row>
    <row r="42" spans="1:11" ht="15.95" customHeight="1">
      <c r="A42" s="256"/>
      <c r="B42" s="193"/>
      <c r="C42" s="193"/>
      <c r="D42" s="194"/>
      <c r="E42" s="194"/>
      <c r="F42" s="194"/>
      <c r="G42" s="193"/>
      <c r="H42" s="193"/>
      <c r="I42" s="193"/>
      <c r="J42" s="193"/>
      <c r="K42" s="195"/>
    </row>
    <row r="43" spans="1:11" ht="15.95" customHeight="1">
      <c r="A43" s="256"/>
      <c r="B43" s="193"/>
      <c r="C43" s="193"/>
      <c r="D43" s="194"/>
      <c r="E43" s="194"/>
      <c r="F43" s="194"/>
      <c r="G43" s="193"/>
      <c r="H43" s="193"/>
      <c r="I43" s="193"/>
      <c r="J43" s="193"/>
      <c r="K43" s="195"/>
    </row>
    <row r="44" spans="1:11" s="177" customFormat="1" ht="15.95" customHeight="1">
      <c r="A44" s="209" t="s">
        <v>137</v>
      </c>
      <c r="B44" s="210"/>
      <c r="C44" s="210"/>
      <c r="D44" s="211"/>
      <c r="E44" s="211"/>
      <c r="F44" s="211"/>
      <c r="G44" s="210"/>
      <c r="H44" s="210"/>
      <c r="I44" s="210"/>
      <c r="J44" s="210"/>
      <c r="K44" s="213">
        <f>SUM(K45)</f>
        <v>0</v>
      </c>
    </row>
    <row r="45" spans="1:11" s="177" customFormat="1" ht="15.95" customHeight="1">
      <c r="A45" s="274"/>
      <c r="B45" s="217"/>
      <c r="C45" s="217"/>
      <c r="D45" s="216"/>
      <c r="E45" s="216"/>
      <c r="F45" s="216"/>
      <c r="G45" s="217"/>
      <c r="H45" s="217"/>
      <c r="I45" s="217"/>
      <c r="J45" s="217"/>
      <c r="K45" s="219"/>
    </row>
    <row r="46" spans="1:11" ht="15.95" customHeight="1">
      <c r="A46" s="188" t="s">
        <v>136</v>
      </c>
      <c r="B46" s="189"/>
      <c r="C46" s="189"/>
      <c r="D46" s="196"/>
      <c r="E46" s="196"/>
      <c r="F46" s="196"/>
      <c r="G46" s="189"/>
      <c r="H46" s="189"/>
      <c r="I46" s="189"/>
      <c r="J46" s="189"/>
      <c r="K46" s="190">
        <f>SUM(K47)</f>
        <v>0</v>
      </c>
    </row>
    <row r="47" spans="1:11" ht="15.95" customHeight="1">
      <c r="A47" s="256"/>
      <c r="B47" s="193"/>
      <c r="C47" s="193"/>
      <c r="D47" s="194"/>
      <c r="E47" s="194"/>
      <c r="F47" s="194"/>
      <c r="G47" s="193"/>
      <c r="H47" s="193"/>
      <c r="I47" s="193"/>
      <c r="J47" s="193"/>
      <c r="K47" s="195"/>
    </row>
    <row r="48" spans="1:11" ht="15.95" customHeight="1">
      <c r="A48" s="241" t="s">
        <v>108</v>
      </c>
      <c r="B48" s="242"/>
      <c r="C48" s="242"/>
      <c r="D48" s="243"/>
      <c r="E48" s="243"/>
      <c r="F48" s="243"/>
      <c r="G48" s="242"/>
      <c r="H48" s="242"/>
      <c r="I48" s="242"/>
      <c r="J48" s="242"/>
      <c r="K48" s="276">
        <f>+K10+K12+K23+K26+K36+K40+K44+K46</f>
        <v>14733514.77</v>
      </c>
    </row>
    <row r="49" spans="1:11">
      <c r="A49" s="245"/>
      <c r="B49" s="246"/>
      <c r="C49" s="246"/>
      <c r="D49" s="246"/>
      <c r="E49" s="246"/>
      <c r="F49" s="246"/>
      <c r="G49" s="246"/>
      <c r="H49" s="246"/>
      <c r="I49" s="246"/>
      <c r="J49" s="246"/>
      <c r="K49" s="246"/>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53"/>
  <sheetViews>
    <sheetView showGridLines="0" zoomScaleNormal="100" workbookViewId="0"/>
  </sheetViews>
  <sheetFormatPr baseColWidth="10" defaultRowHeight="15"/>
  <cols>
    <col min="1" max="1" width="65.5703125" customWidth="1"/>
    <col min="2" max="2" width="17.140625" bestFit="1" customWidth="1"/>
    <col min="3" max="3" width="17.7109375" customWidth="1"/>
    <col min="4" max="4" width="17" customWidth="1"/>
    <col min="5" max="5" width="13.5703125" customWidth="1"/>
    <col min="6" max="6" width="13.42578125" customWidth="1"/>
    <col min="7" max="7" width="11.140625" customWidth="1"/>
    <col min="8" max="8" width="15.7109375" customWidth="1"/>
    <col min="9" max="9" width="14.85546875" customWidth="1"/>
    <col min="10" max="10" width="28.42578125" bestFit="1" customWidth="1"/>
    <col min="11" max="11" width="17.7109375" style="711" customWidth="1"/>
    <col min="12" max="12" width="1.28515625" customWidth="1"/>
  </cols>
  <sheetData>
    <row r="1" spans="1:11" s="177" customFormat="1">
      <c r="K1" s="711"/>
    </row>
    <row r="2" spans="1:11" s="177" customFormat="1">
      <c r="A2" s="247" t="s">
        <v>235</v>
      </c>
      <c r="B2" s="179"/>
      <c r="C2" s="179"/>
      <c r="D2" s="179"/>
      <c r="E2" s="179"/>
      <c r="F2" s="179"/>
      <c r="G2" s="179"/>
      <c r="H2" s="179"/>
      <c r="I2" s="179"/>
      <c r="J2" s="179"/>
      <c r="K2" s="180" t="s">
        <v>234</v>
      </c>
    </row>
    <row r="3" spans="1:11" s="177" customFormat="1">
      <c r="A3" s="712" t="s">
        <v>1129</v>
      </c>
      <c r="B3" s="179"/>
      <c r="C3" s="179"/>
      <c r="D3" s="179"/>
      <c r="E3" s="179"/>
      <c r="F3" s="179"/>
      <c r="G3" s="179"/>
      <c r="H3" s="179"/>
      <c r="I3" s="179"/>
      <c r="J3" s="179"/>
      <c r="K3" s="179"/>
    </row>
    <row r="4" spans="1:11" s="177" customFormat="1">
      <c r="A4" s="247" t="s">
        <v>1130</v>
      </c>
      <c r="B4" s="179"/>
      <c r="C4" s="179"/>
      <c r="D4" s="179"/>
      <c r="E4" s="179"/>
      <c r="F4" s="179"/>
      <c r="G4" s="179"/>
      <c r="H4" s="179"/>
      <c r="I4" s="179"/>
      <c r="J4" s="179"/>
      <c r="K4" s="179"/>
    </row>
    <row r="5" spans="1:11" s="177" customFormat="1"/>
    <row r="6" spans="1:11" s="177" customFormat="1">
      <c r="A6" s="184"/>
      <c r="B6" s="184"/>
      <c r="C6" s="184"/>
      <c r="D6" s="184"/>
      <c r="E6" s="183"/>
      <c r="F6" s="183"/>
      <c r="G6" s="184"/>
      <c r="H6" s="1381"/>
      <c r="I6" s="1381"/>
      <c r="J6" s="184"/>
      <c r="K6" s="184"/>
    </row>
    <row r="7" spans="1:11" s="186" customFormat="1">
      <c r="A7" s="1382" t="s">
        <v>220</v>
      </c>
      <c r="B7" s="1379" t="s">
        <v>219</v>
      </c>
      <c r="C7" s="1379" t="s">
        <v>218</v>
      </c>
      <c r="D7" s="1379" t="s">
        <v>217</v>
      </c>
      <c r="E7" s="1379" t="s">
        <v>216</v>
      </c>
      <c r="F7" s="1379"/>
      <c r="G7" s="1379" t="s">
        <v>215</v>
      </c>
      <c r="H7" s="1379" t="s">
        <v>214</v>
      </c>
      <c r="I7" s="1379"/>
      <c r="J7" s="1379" t="s">
        <v>240</v>
      </c>
      <c r="K7" s="1380" t="s">
        <v>212</v>
      </c>
    </row>
    <row r="8" spans="1:11" s="186" customFormat="1">
      <c r="A8" s="1382"/>
      <c r="B8" s="1379"/>
      <c r="C8" s="1379"/>
      <c r="D8" s="1379"/>
      <c r="E8" s="187" t="s">
        <v>211</v>
      </c>
      <c r="F8" s="187" t="s">
        <v>210</v>
      </c>
      <c r="G8" s="1379"/>
      <c r="H8" s="187" t="s">
        <v>211</v>
      </c>
      <c r="I8" s="187" t="s">
        <v>210</v>
      </c>
      <c r="J8" s="1379"/>
      <c r="K8" s="1380"/>
    </row>
    <row r="9" spans="1:11" ht="15.95" customHeight="1">
      <c r="A9" s="713" t="s">
        <v>1131</v>
      </c>
      <c r="B9" s="714"/>
      <c r="C9" s="714"/>
      <c r="D9" s="714"/>
      <c r="E9" s="714"/>
      <c r="F9" s="714"/>
      <c r="G9" s="714"/>
      <c r="H9" s="714"/>
      <c r="I9" s="714"/>
      <c r="J9" s="714"/>
      <c r="K9" s="715"/>
    </row>
    <row r="10" spans="1:11" ht="15.95" customHeight="1">
      <c r="A10" s="256"/>
      <c r="B10" s="193"/>
      <c r="C10" s="193"/>
      <c r="D10" s="193"/>
      <c r="E10" s="193"/>
      <c r="F10" s="193"/>
      <c r="G10" s="193"/>
      <c r="H10" s="193"/>
      <c r="I10" s="193"/>
      <c r="J10" s="193"/>
      <c r="K10" s="716"/>
    </row>
    <row r="11" spans="1:11" ht="15.95" customHeight="1">
      <c r="A11" s="713" t="s">
        <v>1132</v>
      </c>
      <c r="B11" s="714"/>
      <c r="C11" s="714"/>
      <c r="D11" s="714"/>
      <c r="E11" s="714"/>
      <c r="F11" s="714"/>
      <c r="G11" s="714"/>
      <c r="H11" s="714"/>
      <c r="I11" s="714"/>
      <c r="J11" s="714"/>
      <c r="K11" s="717">
        <f>SUM(K12:K17)</f>
        <v>53580109.080000006</v>
      </c>
    </row>
    <row r="12" spans="1:11" ht="15.95" customHeight="1">
      <c r="A12" s="563" t="s">
        <v>1133</v>
      </c>
      <c r="B12" s="563" t="s">
        <v>1134</v>
      </c>
      <c r="C12" s="563" t="s">
        <v>758</v>
      </c>
      <c r="D12" s="718">
        <v>1.2E-2</v>
      </c>
      <c r="E12" s="718">
        <v>0.01</v>
      </c>
      <c r="F12" s="718">
        <v>0.06</v>
      </c>
      <c r="G12" s="193"/>
      <c r="H12" s="719"/>
      <c r="I12" s="719"/>
      <c r="J12" s="330" t="s">
        <v>1135</v>
      </c>
      <c r="K12" s="720">
        <f>26484589.26-K17</f>
        <v>26336045.260000002</v>
      </c>
    </row>
    <row r="13" spans="1:11" ht="15.95" customHeight="1">
      <c r="A13" s="563" t="s">
        <v>1136</v>
      </c>
      <c r="B13" s="563" t="s">
        <v>480</v>
      </c>
      <c r="C13" s="563" t="s">
        <v>758</v>
      </c>
      <c r="D13" s="721" t="s">
        <v>1137</v>
      </c>
      <c r="E13" s="193"/>
      <c r="F13" s="193"/>
      <c r="G13" s="721"/>
      <c r="H13" s="193"/>
      <c r="I13" s="193"/>
      <c r="J13" s="330" t="s">
        <v>1135</v>
      </c>
      <c r="K13" s="720">
        <v>15144922.359999999</v>
      </c>
    </row>
    <row r="14" spans="1:11" s="177" customFormat="1" ht="15.95" customHeight="1">
      <c r="A14" s="722" t="s">
        <v>702</v>
      </c>
      <c r="B14" s="722" t="s">
        <v>1138</v>
      </c>
      <c r="C14" s="722" t="s">
        <v>252</v>
      </c>
      <c r="D14" s="723"/>
      <c r="E14" s="724"/>
      <c r="F14" s="724"/>
      <c r="G14" s="217"/>
      <c r="H14" s="724">
        <v>200</v>
      </c>
      <c r="I14" s="724">
        <v>800</v>
      </c>
      <c r="J14" s="368" t="s">
        <v>1135</v>
      </c>
      <c r="K14" s="720">
        <v>9696703.9299999997</v>
      </c>
    </row>
    <row r="15" spans="1:11" ht="15.95" customHeight="1">
      <c r="A15" s="563" t="s">
        <v>807</v>
      </c>
      <c r="B15" s="563" t="s">
        <v>1139</v>
      </c>
      <c r="C15" s="563" t="s">
        <v>252</v>
      </c>
      <c r="D15" s="725"/>
      <c r="E15" s="726">
        <v>8.3000000000000001E-4</v>
      </c>
      <c r="F15" s="726">
        <v>1.5900000000000001E-3</v>
      </c>
      <c r="G15" s="727"/>
      <c r="H15" s="719"/>
      <c r="I15" s="719"/>
      <c r="J15" s="330" t="s">
        <v>1135</v>
      </c>
      <c r="K15" s="728">
        <f>1619832.74-K18</f>
        <v>1509463.85</v>
      </c>
    </row>
    <row r="16" spans="1:11" s="177" customFormat="1" ht="15.95" customHeight="1">
      <c r="A16" s="722" t="s">
        <v>1140</v>
      </c>
      <c r="B16" s="722" t="s">
        <v>1141</v>
      </c>
      <c r="C16" s="722"/>
      <c r="D16" s="729">
        <v>0.05</v>
      </c>
      <c r="E16" s="724"/>
      <c r="F16" s="724"/>
      <c r="G16" s="217"/>
      <c r="H16" s="724">
        <v>1000</v>
      </c>
      <c r="I16" s="724">
        <v>4000</v>
      </c>
      <c r="J16" s="368" t="s">
        <v>1135</v>
      </c>
      <c r="K16" s="720">
        <v>744429.68</v>
      </c>
    </row>
    <row r="17" spans="1:11" ht="15.95" customHeight="1">
      <c r="A17" s="192" t="s">
        <v>1142</v>
      </c>
      <c r="B17" s="563" t="s">
        <v>254</v>
      </c>
      <c r="C17" s="193" t="s">
        <v>185</v>
      </c>
      <c r="D17" s="725"/>
      <c r="E17" s="727"/>
      <c r="F17" s="727"/>
      <c r="G17" s="193"/>
      <c r="H17" s="727">
        <v>700</v>
      </c>
      <c r="I17" s="727">
        <v>1300</v>
      </c>
      <c r="J17" s="330" t="s">
        <v>1135</v>
      </c>
      <c r="K17" s="724">
        <v>148544</v>
      </c>
    </row>
    <row r="18" spans="1:11" ht="15.95" customHeight="1">
      <c r="A18" s="192" t="s">
        <v>1143</v>
      </c>
      <c r="B18" s="193"/>
      <c r="C18" s="193"/>
      <c r="D18" s="193"/>
      <c r="E18" s="726">
        <v>1.6000000000000001E-4</v>
      </c>
      <c r="F18" s="726">
        <v>5.9000000000000003E-4</v>
      </c>
      <c r="G18" s="193"/>
      <c r="H18" s="193"/>
      <c r="I18" s="193"/>
      <c r="J18" s="330" t="s">
        <v>1135</v>
      </c>
      <c r="K18" s="724">
        <v>110368.89</v>
      </c>
    </row>
    <row r="19" spans="1:11" ht="15.95" customHeight="1">
      <c r="A19" s="256"/>
      <c r="B19" s="193"/>
      <c r="C19" s="193"/>
      <c r="D19" s="193"/>
      <c r="E19" s="193"/>
      <c r="F19" s="193"/>
      <c r="G19" s="193"/>
      <c r="H19" s="193"/>
      <c r="I19" s="193"/>
      <c r="J19" s="193"/>
      <c r="K19" s="716"/>
    </row>
    <row r="20" spans="1:11" s="177" customFormat="1" ht="15.95" customHeight="1">
      <c r="A20" s="730" t="s">
        <v>1144</v>
      </c>
      <c r="B20" s="731"/>
      <c r="C20" s="731"/>
      <c r="D20" s="217"/>
      <c r="E20" s="217"/>
      <c r="F20" s="217"/>
      <c r="G20" s="217"/>
      <c r="H20" s="217"/>
      <c r="I20" s="217"/>
      <c r="J20" s="217"/>
      <c r="K20" s="717">
        <f>+K21</f>
        <v>4166299.06</v>
      </c>
    </row>
    <row r="21" spans="1:11" s="732" customFormat="1" ht="15.95" customHeight="1">
      <c r="A21" s="563" t="s">
        <v>1145</v>
      </c>
      <c r="B21" s="563" t="s">
        <v>1078</v>
      </c>
      <c r="C21" s="563"/>
      <c r="D21" s="725" t="s">
        <v>1146</v>
      </c>
      <c r="E21" s="217"/>
      <c r="F21" s="217"/>
      <c r="G21" s="217"/>
      <c r="H21" s="562" t="s">
        <v>1147</v>
      </c>
      <c r="I21" s="562" t="s">
        <v>1148</v>
      </c>
      <c r="J21" s="330" t="s">
        <v>1135</v>
      </c>
      <c r="K21" s="720">
        <v>4166299.06</v>
      </c>
    </row>
    <row r="22" spans="1:11" s="732" customFormat="1" ht="15.95" customHeight="1">
      <c r="A22" s="274"/>
      <c r="B22" s="217"/>
      <c r="C22" s="217"/>
      <c r="D22" s="217"/>
      <c r="E22" s="217"/>
      <c r="F22" s="217"/>
      <c r="G22" s="217"/>
      <c r="H22" s="217"/>
      <c r="I22" s="217"/>
      <c r="J22" s="217"/>
      <c r="K22" s="716"/>
    </row>
    <row r="23" spans="1:11" s="177" customFormat="1" ht="15.95" customHeight="1">
      <c r="A23" s="256"/>
      <c r="B23" s="217"/>
      <c r="C23" s="217"/>
      <c r="D23" s="217"/>
      <c r="E23" s="217"/>
      <c r="F23" s="217"/>
      <c r="G23" s="217"/>
      <c r="H23" s="217"/>
      <c r="I23" s="217"/>
      <c r="J23" s="217"/>
      <c r="K23" s="716"/>
    </row>
    <row r="24" spans="1:11" ht="15.95" customHeight="1">
      <c r="A24" s="713" t="s">
        <v>1149</v>
      </c>
      <c r="B24" s="714"/>
      <c r="C24" s="714"/>
      <c r="D24" s="193"/>
      <c r="E24" s="193"/>
      <c r="F24" s="193"/>
      <c r="G24" s="193"/>
      <c r="H24" s="193"/>
      <c r="I24" s="193"/>
      <c r="J24" s="193"/>
      <c r="K24" s="717">
        <f>SUM(K25:K30)</f>
        <v>7579291.6899999995</v>
      </c>
    </row>
    <row r="25" spans="1:11" ht="15.95" customHeight="1">
      <c r="A25" s="563" t="s">
        <v>262</v>
      </c>
      <c r="B25" s="563" t="s">
        <v>254</v>
      </c>
      <c r="C25" s="563" t="s">
        <v>1150</v>
      </c>
      <c r="D25" s="193"/>
      <c r="E25" s="727"/>
      <c r="F25" s="727"/>
      <c r="G25" s="193"/>
      <c r="H25" s="727">
        <v>350</v>
      </c>
      <c r="I25" s="727">
        <v>38900</v>
      </c>
      <c r="J25" s="330" t="s">
        <v>1135</v>
      </c>
      <c r="K25" s="720">
        <v>1297241.28</v>
      </c>
    </row>
    <row r="26" spans="1:11" s="177" customFormat="1" ht="15.95" customHeight="1">
      <c r="A26" s="722" t="s">
        <v>1151</v>
      </c>
      <c r="B26" s="722" t="s">
        <v>1152</v>
      </c>
      <c r="C26" s="722" t="s">
        <v>1153</v>
      </c>
      <c r="D26" s="217"/>
      <c r="E26" s="724"/>
      <c r="F26" s="724"/>
      <c r="G26" s="217"/>
      <c r="H26" s="724">
        <v>80</v>
      </c>
      <c r="I26" s="724">
        <v>11600</v>
      </c>
      <c r="J26" s="368" t="s">
        <v>1135</v>
      </c>
      <c r="K26" s="720">
        <v>60720.3</v>
      </c>
    </row>
    <row r="27" spans="1:11" ht="15.95" customHeight="1">
      <c r="A27" s="563" t="s">
        <v>298</v>
      </c>
      <c r="B27" s="563" t="s">
        <v>1154</v>
      </c>
      <c r="C27" s="563" t="s">
        <v>758</v>
      </c>
      <c r="D27" s="718"/>
      <c r="E27" s="726"/>
      <c r="F27" s="726"/>
      <c r="G27" s="193"/>
      <c r="H27" s="727">
        <v>200</v>
      </c>
      <c r="I27" s="727">
        <v>1000</v>
      </c>
      <c r="J27" s="330" t="s">
        <v>1135</v>
      </c>
      <c r="K27" s="720">
        <v>1487799.72</v>
      </c>
    </row>
    <row r="28" spans="1:11" ht="15.95" customHeight="1">
      <c r="A28" s="563" t="s">
        <v>1155</v>
      </c>
      <c r="B28" s="563" t="s">
        <v>1139</v>
      </c>
      <c r="C28" s="563" t="s">
        <v>758</v>
      </c>
      <c r="D28" s="733">
        <v>0.03</v>
      </c>
      <c r="E28" s="726">
        <v>1E-4</v>
      </c>
      <c r="F28" s="726">
        <v>2.9999999999999997E-4</v>
      </c>
      <c r="G28" s="733"/>
      <c r="H28" s="727">
        <v>300</v>
      </c>
      <c r="I28" s="727">
        <v>800</v>
      </c>
      <c r="J28" s="330" t="s">
        <v>1135</v>
      </c>
      <c r="K28" s="720">
        <v>555103.38</v>
      </c>
    </row>
    <row r="29" spans="1:11" ht="15.95" customHeight="1">
      <c r="A29" s="563" t="s">
        <v>1156</v>
      </c>
      <c r="B29" s="563" t="s">
        <v>1157</v>
      </c>
      <c r="C29" s="193"/>
      <c r="D29" s="725" t="s">
        <v>1158</v>
      </c>
      <c r="E29" s="733"/>
      <c r="F29" s="733"/>
      <c r="G29" s="193"/>
      <c r="H29" s="193" t="s">
        <v>1159</v>
      </c>
      <c r="I29" s="193" t="s">
        <v>1160</v>
      </c>
      <c r="J29" s="330" t="s">
        <v>1135</v>
      </c>
      <c r="K29" s="720">
        <v>4178427.01</v>
      </c>
    </row>
    <row r="30" spans="1:11" s="399" customFormat="1" ht="15.95" customHeight="1">
      <c r="A30" s="563" t="s">
        <v>1161</v>
      </c>
      <c r="B30" s="563"/>
      <c r="C30" s="563" t="s">
        <v>799</v>
      </c>
      <c r="D30" s="725"/>
      <c r="E30" s="193"/>
      <c r="F30" s="193"/>
      <c r="G30" s="734"/>
      <c r="H30" s="727">
        <v>180000</v>
      </c>
      <c r="I30" s="727">
        <v>300000</v>
      </c>
      <c r="J30" s="330" t="s">
        <v>1135</v>
      </c>
      <c r="K30" s="720">
        <v>0</v>
      </c>
    </row>
    <row r="31" spans="1:11" ht="15.95" customHeight="1">
      <c r="A31" s="256"/>
      <c r="B31" s="193"/>
      <c r="C31" s="193"/>
      <c r="D31" s="193"/>
      <c r="E31" s="193"/>
      <c r="F31" s="193"/>
      <c r="G31" s="193"/>
      <c r="H31" s="193"/>
      <c r="I31" s="193"/>
      <c r="J31" s="330"/>
      <c r="K31" s="716"/>
    </row>
    <row r="32" spans="1:11" ht="15.95" customHeight="1">
      <c r="A32" s="713" t="s">
        <v>1162</v>
      </c>
      <c r="B32" s="714"/>
      <c r="C32" s="714"/>
      <c r="D32" s="193"/>
      <c r="E32" s="193"/>
      <c r="F32" s="193"/>
      <c r="G32" s="193"/>
      <c r="H32" s="193"/>
      <c r="I32" s="193"/>
      <c r="J32" s="193"/>
      <c r="K32" s="715"/>
    </row>
    <row r="33" spans="1:11" s="399" customFormat="1" ht="15.95" customHeight="1">
      <c r="A33" s="679" t="s">
        <v>1163</v>
      </c>
      <c r="B33" s="563"/>
      <c r="C33" s="563" t="s">
        <v>758</v>
      </c>
      <c r="D33" s="725"/>
      <c r="E33" s="193"/>
      <c r="F33" s="193"/>
      <c r="G33" s="193"/>
      <c r="H33" s="193"/>
      <c r="I33" s="193"/>
      <c r="J33" s="330"/>
      <c r="K33" s="724">
        <v>169039.69</v>
      </c>
    </row>
    <row r="34" spans="1:11" ht="15.95" customHeight="1">
      <c r="A34" s="256"/>
      <c r="B34" s="193"/>
      <c r="C34" s="193"/>
      <c r="D34" s="193"/>
      <c r="E34" s="193"/>
      <c r="F34" s="193"/>
      <c r="G34" s="193"/>
      <c r="H34" s="193"/>
      <c r="I34" s="193"/>
      <c r="J34" s="193"/>
      <c r="K34" s="716"/>
    </row>
    <row r="35" spans="1:11" ht="15.95" customHeight="1">
      <c r="A35" s="256"/>
      <c r="B35" s="193"/>
      <c r="C35" s="193"/>
      <c r="D35" s="193"/>
      <c r="E35" s="193"/>
      <c r="F35" s="193"/>
      <c r="G35" s="193"/>
      <c r="H35" s="193"/>
      <c r="I35" s="193"/>
      <c r="J35" s="193"/>
      <c r="K35" s="716"/>
    </row>
    <row r="36" spans="1:11" ht="15.95" customHeight="1">
      <c r="A36" s="713" t="s">
        <v>1164</v>
      </c>
      <c r="B36" s="714"/>
      <c r="C36" s="714"/>
      <c r="D36" s="714"/>
      <c r="E36" s="714"/>
      <c r="F36" s="714"/>
      <c r="G36" s="714"/>
      <c r="H36" s="714"/>
      <c r="I36" s="714"/>
      <c r="J36" s="193"/>
      <c r="K36" s="717">
        <f>+K37</f>
        <v>170095.35</v>
      </c>
    </row>
    <row r="37" spans="1:11" s="399" customFormat="1" ht="15.95" customHeight="1">
      <c r="A37" s="563" t="s">
        <v>1165</v>
      </c>
      <c r="B37" s="193"/>
      <c r="C37" s="193"/>
      <c r="D37" s="563" t="s">
        <v>1158</v>
      </c>
      <c r="E37" s="193"/>
      <c r="F37" s="193"/>
      <c r="G37" s="193"/>
      <c r="H37" s="193"/>
      <c r="I37" s="193"/>
      <c r="J37" s="330" t="s">
        <v>1135</v>
      </c>
      <c r="K37" s="720">
        <v>170095.35</v>
      </c>
    </row>
    <row r="38" spans="1:11" s="399" customFormat="1" ht="15.95" customHeight="1">
      <c r="A38" s="256"/>
      <c r="B38" s="193"/>
      <c r="C38" s="193"/>
      <c r="D38" s="193"/>
      <c r="E38" s="193"/>
      <c r="F38" s="193"/>
      <c r="G38" s="193"/>
      <c r="H38" s="193"/>
      <c r="I38" s="193"/>
      <c r="J38" s="193"/>
      <c r="K38" s="716"/>
    </row>
    <row r="39" spans="1:11" s="177" customFormat="1" ht="15.95" customHeight="1">
      <c r="A39" s="730" t="s">
        <v>1166</v>
      </c>
      <c r="B39" s="731"/>
      <c r="C39" s="731"/>
      <c r="D39" s="731"/>
      <c r="E39" s="731"/>
      <c r="F39" s="731"/>
      <c r="G39" s="731"/>
      <c r="H39" s="731"/>
      <c r="I39" s="731"/>
      <c r="J39" s="217"/>
      <c r="K39" s="715"/>
    </row>
    <row r="40" spans="1:11" s="732" customFormat="1" ht="15.95" customHeight="1">
      <c r="A40" s="274"/>
      <c r="B40" s="217"/>
      <c r="C40" s="217"/>
      <c r="D40" s="217"/>
      <c r="E40" s="217"/>
      <c r="F40" s="217"/>
      <c r="G40" s="217"/>
      <c r="H40" s="217"/>
      <c r="I40" s="217"/>
      <c r="J40" s="217"/>
      <c r="K40" s="716"/>
    </row>
    <row r="41" spans="1:11" ht="15.95" customHeight="1">
      <c r="A41" s="713" t="s">
        <v>136</v>
      </c>
      <c r="B41" s="714"/>
      <c r="C41" s="714"/>
      <c r="D41" s="193"/>
      <c r="E41" s="193"/>
      <c r="F41" s="193"/>
      <c r="G41" s="193"/>
      <c r="H41" s="714"/>
      <c r="I41" s="714"/>
      <c r="J41" s="193"/>
      <c r="K41" s="735">
        <f>+K42+K43</f>
        <v>3931545.74</v>
      </c>
    </row>
    <row r="42" spans="1:11" s="732" customFormat="1" ht="15.95" customHeight="1">
      <c r="A42" s="563" t="s">
        <v>1167</v>
      </c>
      <c r="B42" s="563" t="s">
        <v>758</v>
      </c>
      <c r="C42" s="217"/>
      <c r="D42" s="736">
        <v>0.1</v>
      </c>
      <c r="E42" s="217"/>
      <c r="F42" s="217"/>
      <c r="G42" s="736"/>
      <c r="H42" s="217"/>
      <c r="I42" s="217"/>
      <c r="J42" s="330" t="s">
        <v>1135</v>
      </c>
      <c r="K42" s="720">
        <v>2790903.22</v>
      </c>
    </row>
    <row r="43" spans="1:11" s="732" customFormat="1" ht="15.95" customHeight="1">
      <c r="A43" s="231" t="s">
        <v>1168</v>
      </c>
      <c r="B43" s="217"/>
      <c r="C43" s="217"/>
      <c r="D43" s="217"/>
      <c r="E43" s="217"/>
      <c r="F43" s="217"/>
      <c r="G43" s="217"/>
      <c r="H43" s="217"/>
      <c r="I43" s="217"/>
      <c r="J43" s="330" t="s">
        <v>1135</v>
      </c>
      <c r="K43" s="724">
        <f>1419310.83-278668.31</f>
        <v>1140642.52</v>
      </c>
    </row>
    <row r="44" spans="1:11" s="732" customFormat="1" ht="15.95" customHeight="1">
      <c r="A44" s="274"/>
      <c r="B44" s="217"/>
      <c r="C44" s="217"/>
      <c r="D44" s="217"/>
      <c r="E44" s="217"/>
      <c r="F44" s="217"/>
      <c r="G44" s="217"/>
      <c r="H44" s="217"/>
      <c r="I44" s="217"/>
      <c r="J44" s="217"/>
      <c r="K44" s="716"/>
    </row>
    <row r="45" spans="1:11" s="177" customFormat="1" ht="15.95" customHeight="1">
      <c r="A45" s="274"/>
      <c r="B45" s="217"/>
      <c r="C45" s="217"/>
      <c r="D45" s="217"/>
      <c r="E45" s="217"/>
      <c r="F45" s="217"/>
      <c r="G45" s="217"/>
      <c r="H45" s="217"/>
      <c r="I45" s="217"/>
      <c r="J45" s="217"/>
      <c r="K45" s="716"/>
    </row>
    <row r="46" spans="1:11" ht="15.95" customHeight="1">
      <c r="A46" s="256"/>
      <c r="B46" s="193"/>
      <c r="C46" s="193"/>
      <c r="D46" s="193"/>
      <c r="E46" s="193"/>
      <c r="F46" s="193"/>
      <c r="G46" s="193"/>
      <c r="H46" s="193"/>
      <c r="I46" s="193"/>
      <c r="J46" s="193"/>
      <c r="K46" s="716"/>
    </row>
    <row r="47" spans="1:11" ht="15.95" customHeight="1">
      <c r="A47" s="241"/>
      <c r="B47" s="242"/>
      <c r="C47" s="242"/>
      <c r="D47" s="242"/>
      <c r="E47" s="242"/>
      <c r="F47" s="242"/>
      <c r="G47" s="242"/>
      <c r="H47" s="242"/>
      <c r="I47" s="242"/>
      <c r="J47" s="242"/>
      <c r="K47" s="737">
        <f>+K41+K36+K24+K20+K11</f>
        <v>69427340.920000002</v>
      </c>
    </row>
    <row r="48" spans="1:11">
      <c r="A48" s="245"/>
      <c r="B48" s="246"/>
      <c r="C48" s="246"/>
      <c r="D48" s="246"/>
      <c r="E48" s="246"/>
      <c r="F48" s="246"/>
      <c r="G48" s="246"/>
      <c r="H48" s="246"/>
      <c r="I48" s="246"/>
      <c r="J48" s="246"/>
      <c r="K48" s="738"/>
    </row>
    <row r="50" spans="1:11" ht="16.5">
      <c r="A50" s="739"/>
      <c r="B50" s="740"/>
      <c r="C50" s="740"/>
      <c r="D50" s="740"/>
      <c r="E50" s="740"/>
      <c r="F50" s="740"/>
      <c r="G50" s="740"/>
      <c r="H50" s="740"/>
      <c r="I50" s="740"/>
      <c r="J50" s="740"/>
      <c r="K50" s="741"/>
    </row>
    <row r="51" spans="1:11" ht="104.25" customHeight="1">
      <c r="A51" s="1454"/>
      <c r="B51" s="1454"/>
      <c r="C51" s="1454"/>
      <c r="D51" s="1454"/>
      <c r="E51" s="1454"/>
      <c r="F51" s="1454"/>
      <c r="G51" s="1454"/>
      <c r="H51" s="1454"/>
      <c r="I51" s="1454"/>
      <c r="J51" s="1454"/>
      <c r="K51" s="1454"/>
    </row>
    <row r="52" spans="1:11" ht="16.5">
      <c r="A52" s="2"/>
      <c r="B52" s="2"/>
      <c r="C52" s="2"/>
      <c r="D52" s="2"/>
      <c r="E52" s="2"/>
      <c r="F52" s="2"/>
      <c r="G52" s="2"/>
      <c r="H52" s="2"/>
      <c r="I52" s="2"/>
      <c r="J52" s="2"/>
      <c r="K52" s="742"/>
    </row>
    <row r="53" spans="1:11">
      <c r="A53" s="295"/>
    </row>
  </sheetData>
  <mergeCells count="11">
    <mergeCell ref="J7:J8"/>
    <mergeCell ref="K7:K8"/>
    <mergeCell ref="A51:K51"/>
    <mergeCell ref="H6:I6"/>
    <mergeCell ref="A7:A8"/>
    <mergeCell ref="B7:B8"/>
    <mergeCell ref="C7:C8"/>
    <mergeCell ref="D7:D8"/>
    <mergeCell ref="E7:F7"/>
    <mergeCell ref="G7:G8"/>
    <mergeCell ref="H7:I7"/>
  </mergeCells>
  <pageMargins left="0.23622047244094491" right="0.15748031496062992" top="0.74803149606299213" bottom="0.74803149606299213" header="0.31496062992125984" footer="0.31496062992125984"/>
  <pageSetup paperSize="5"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L58"/>
  <sheetViews>
    <sheetView showGridLines="0" zoomScaleNormal="100" workbookViewId="0"/>
  </sheetViews>
  <sheetFormatPr baseColWidth="10" defaultRowHeight="15"/>
  <cols>
    <col min="1" max="1" width="54.5703125" customWidth="1"/>
    <col min="2" max="2" width="26.85546875" customWidth="1"/>
    <col min="3" max="3" width="15.28515625" customWidth="1"/>
    <col min="4" max="4" width="33.28515625" customWidth="1"/>
    <col min="5" max="5" width="9.140625" customWidth="1"/>
    <col min="6" max="6" width="10.140625" customWidth="1"/>
    <col min="7" max="7" width="16.5703125" customWidth="1"/>
    <col min="8" max="8" width="11.28515625" style="780" customWidth="1"/>
    <col min="9" max="9" width="12.85546875" style="780" customWidth="1"/>
    <col min="10" max="10" width="29.42578125" style="780" customWidth="1"/>
    <col min="11" max="11" width="19.140625" bestFit="1" customWidth="1"/>
    <col min="12" max="12" width="17.42578125" bestFit="1" customWidth="1"/>
    <col min="257" max="257" width="54.5703125" customWidth="1"/>
    <col min="258" max="258" width="26.85546875" customWidth="1"/>
    <col min="259" max="259" width="15.28515625" customWidth="1"/>
    <col min="260" max="260" width="33.28515625" customWidth="1"/>
    <col min="261" max="261" width="9.140625" customWidth="1"/>
    <col min="262" max="262" width="10.140625" customWidth="1"/>
    <col min="263" max="263" width="16.5703125" customWidth="1"/>
    <col min="264" max="264" width="11.28515625" customWidth="1"/>
    <col min="265" max="265" width="12.85546875" customWidth="1"/>
    <col min="266" max="266" width="29.42578125" customWidth="1"/>
    <col min="267" max="267" width="19.140625" bestFit="1" customWidth="1"/>
    <col min="268" max="268" width="17.42578125" bestFit="1" customWidth="1"/>
    <col min="513" max="513" width="54.5703125" customWidth="1"/>
    <col min="514" max="514" width="26.85546875" customWidth="1"/>
    <col min="515" max="515" width="15.28515625" customWidth="1"/>
    <col min="516" max="516" width="33.28515625" customWidth="1"/>
    <col min="517" max="517" width="9.140625" customWidth="1"/>
    <col min="518" max="518" width="10.140625" customWidth="1"/>
    <col min="519" max="519" width="16.5703125" customWidth="1"/>
    <col min="520" max="520" width="11.28515625" customWidth="1"/>
    <col min="521" max="521" width="12.85546875" customWidth="1"/>
    <col min="522" max="522" width="29.42578125" customWidth="1"/>
    <col min="523" max="523" width="19.140625" bestFit="1" customWidth="1"/>
    <col min="524" max="524" width="17.42578125" bestFit="1" customWidth="1"/>
    <col min="769" max="769" width="54.5703125" customWidth="1"/>
    <col min="770" max="770" width="26.85546875" customWidth="1"/>
    <col min="771" max="771" width="15.28515625" customWidth="1"/>
    <col min="772" max="772" width="33.28515625" customWidth="1"/>
    <col min="773" max="773" width="9.140625" customWidth="1"/>
    <col min="774" max="774" width="10.140625" customWidth="1"/>
    <col min="775" max="775" width="16.5703125" customWidth="1"/>
    <col min="776" max="776" width="11.28515625" customWidth="1"/>
    <col min="777" max="777" width="12.85546875" customWidth="1"/>
    <col min="778" max="778" width="29.42578125" customWidth="1"/>
    <col min="779" max="779" width="19.140625" bestFit="1" customWidth="1"/>
    <col min="780" max="780" width="17.42578125" bestFit="1" customWidth="1"/>
    <col min="1025" max="1025" width="54.5703125" customWidth="1"/>
    <col min="1026" max="1026" width="26.85546875" customWidth="1"/>
    <col min="1027" max="1027" width="15.28515625" customWidth="1"/>
    <col min="1028" max="1028" width="33.28515625" customWidth="1"/>
    <col min="1029" max="1029" width="9.140625" customWidth="1"/>
    <col min="1030" max="1030" width="10.140625" customWidth="1"/>
    <col min="1031" max="1031" width="16.5703125" customWidth="1"/>
    <col min="1032" max="1032" width="11.28515625" customWidth="1"/>
    <col min="1033" max="1033" width="12.85546875" customWidth="1"/>
    <col min="1034" max="1034" width="29.42578125" customWidth="1"/>
    <col min="1035" max="1035" width="19.140625" bestFit="1" customWidth="1"/>
    <col min="1036" max="1036" width="17.42578125" bestFit="1" customWidth="1"/>
    <col min="1281" max="1281" width="54.5703125" customWidth="1"/>
    <col min="1282" max="1282" width="26.85546875" customWidth="1"/>
    <col min="1283" max="1283" width="15.28515625" customWidth="1"/>
    <col min="1284" max="1284" width="33.28515625" customWidth="1"/>
    <col min="1285" max="1285" width="9.140625" customWidth="1"/>
    <col min="1286" max="1286" width="10.140625" customWidth="1"/>
    <col min="1287" max="1287" width="16.5703125" customWidth="1"/>
    <col min="1288" max="1288" width="11.28515625" customWidth="1"/>
    <col min="1289" max="1289" width="12.85546875" customWidth="1"/>
    <col min="1290" max="1290" width="29.42578125" customWidth="1"/>
    <col min="1291" max="1291" width="19.140625" bestFit="1" customWidth="1"/>
    <col min="1292" max="1292" width="17.42578125" bestFit="1" customWidth="1"/>
    <col min="1537" max="1537" width="54.5703125" customWidth="1"/>
    <col min="1538" max="1538" width="26.85546875" customWidth="1"/>
    <col min="1539" max="1539" width="15.28515625" customWidth="1"/>
    <col min="1540" max="1540" width="33.28515625" customWidth="1"/>
    <col min="1541" max="1541" width="9.140625" customWidth="1"/>
    <col min="1542" max="1542" width="10.140625" customWidth="1"/>
    <col min="1543" max="1543" width="16.5703125" customWidth="1"/>
    <col min="1544" max="1544" width="11.28515625" customWidth="1"/>
    <col min="1545" max="1545" width="12.85546875" customWidth="1"/>
    <col min="1546" max="1546" width="29.42578125" customWidth="1"/>
    <col min="1547" max="1547" width="19.140625" bestFit="1" customWidth="1"/>
    <col min="1548" max="1548" width="17.42578125" bestFit="1" customWidth="1"/>
    <col min="1793" max="1793" width="54.5703125" customWidth="1"/>
    <col min="1794" max="1794" width="26.85546875" customWidth="1"/>
    <col min="1795" max="1795" width="15.28515625" customWidth="1"/>
    <col min="1796" max="1796" width="33.28515625" customWidth="1"/>
    <col min="1797" max="1797" width="9.140625" customWidth="1"/>
    <col min="1798" max="1798" width="10.140625" customWidth="1"/>
    <col min="1799" max="1799" width="16.5703125" customWidth="1"/>
    <col min="1800" max="1800" width="11.28515625" customWidth="1"/>
    <col min="1801" max="1801" width="12.85546875" customWidth="1"/>
    <col min="1802" max="1802" width="29.42578125" customWidth="1"/>
    <col min="1803" max="1803" width="19.140625" bestFit="1" customWidth="1"/>
    <col min="1804" max="1804" width="17.42578125" bestFit="1" customWidth="1"/>
    <col min="2049" max="2049" width="54.5703125" customWidth="1"/>
    <col min="2050" max="2050" width="26.85546875" customWidth="1"/>
    <col min="2051" max="2051" width="15.28515625" customWidth="1"/>
    <col min="2052" max="2052" width="33.28515625" customWidth="1"/>
    <col min="2053" max="2053" width="9.140625" customWidth="1"/>
    <col min="2054" max="2054" width="10.140625" customWidth="1"/>
    <col min="2055" max="2055" width="16.5703125" customWidth="1"/>
    <col min="2056" max="2056" width="11.28515625" customWidth="1"/>
    <col min="2057" max="2057" width="12.85546875" customWidth="1"/>
    <col min="2058" max="2058" width="29.42578125" customWidth="1"/>
    <col min="2059" max="2059" width="19.140625" bestFit="1" customWidth="1"/>
    <col min="2060" max="2060" width="17.42578125" bestFit="1" customWidth="1"/>
    <col min="2305" max="2305" width="54.5703125" customWidth="1"/>
    <col min="2306" max="2306" width="26.85546875" customWidth="1"/>
    <col min="2307" max="2307" width="15.28515625" customWidth="1"/>
    <col min="2308" max="2308" width="33.28515625" customWidth="1"/>
    <col min="2309" max="2309" width="9.140625" customWidth="1"/>
    <col min="2310" max="2310" width="10.140625" customWidth="1"/>
    <col min="2311" max="2311" width="16.5703125" customWidth="1"/>
    <col min="2312" max="2312" width="11.28515625" customWidth="1"/>
    <col min="2313" max="2313" width="12.85546875" customWidth="1"/>
    <col min="2314" max="2314" width="29.42578125" customWidth="1"/>
    <col min="2315" max="2315" width="19.140625" bestFit="1" customWidth="1"/>
    <col min="2316" max="2316" width="17.42578125" bestFit="1" customWidth="1"/>
    <col min="2561" max="2561" width="54.5703125" customWidth="1"/>
    <col min="2562" max="2562" width="26.85546875" customWidth="1"/>
    <col min="2563" max="2563" width="15.28515625" customWidth="1"/>
    <col min="2564" max="2564" width="33.28515625" customWidth="1"/>
    <col min="2565" max="2565" width="9.140625" customWidth="1"/>
    <col min="2566" max="2566" width="10.140625" customWidth="1"/>
    <col min="2567" max="2567" width="16.5703125" customWidth="1"/>
    <col min="2568" max="2568" width="11.28515625" customWidth="1"/>
    <col min="2569" max="2569" width="12.85546875" customWidth="1"/>
    <col min="2570" max="2570" width="29.42578125" customWidth="1"/>
    <col min="2571" max="2571" width="19.140625" bestFit="1" customWidth="1"/>
    <col min="2572" max="2572" width="17.42578125" bestFit="1" customWidth="1"/>
    <col min="2817" max="2817" width="54.5703125" customWidth="1"/>
    <col min="2818" max="2818" width="26.85546875" customWidth="1"/>
    <col min="2819" max="2819" width="15.28515625" customWidth="1"/>
    <col min="2820" max="2820" width="33.28515625" customWidth="1"/>
    <col min="2821" max="2821" width="9.140625" customWidth="1"/>
    <col min="2822" max="2822" width="10.140625" customWidth="1"/>
    <col min="2823" max="2823" width="16.5703125" customWidth="1"/>
    <col min="2824" max="2824" width="11.28515625" customWidth="1"/>
    <col min="2825" max="2825" width="12.85546875" customWidth="1"/>
    <col min="2826" max="2826" width="29.42578125" customWidth="1"/>
    <col min="2827" max="2827" width="19.140625" bestFit="1" customWidth="1"/>
    <col min="2828" max="2828" width="17.42578125" bestFit="1" customWidth="1"/>
    <col min="3073" max="3073" width="54.5703125" customWidth="1"/>
    <col min="3074" max="3074" width="26.85546875" customWidth="1"/>
    <col min="3075" max="3075" width="15.28515625" customWidth="1"/>
    <col min="3076" max="3076" width="33.28515625" customWidth="1"/>
    <col min="3077" max="3077" width="9.140625" customWidth="1"/>
    <col min="3078" max="3078" width="10.140625" customWidth="1"/>
    <col min="3079" max="3079" width="16.5703125" customWidth="1"/>
    <col min="3080" max="3080" width="11.28515625" customWidth="1"/>
    <col min="3081" max="3081" width="12.85546875" customWidth="1"/>
    <col min="3082" max="3082" width="29.42578125" customWidth="1"/>
    <col min="3083" max="3083" width="19.140625" bestFit="1" customWidth="1"/>
    <col min="3084" max="3084" width="17.42578125" bestFit="1" customWidth="1"/>
    <col min="3329" max="3329" width="54.5703125" customWidth="1"/>
    <col min="3330" max="3330" width="26.85546875" customWidth="1"/>
    <col min="3331" max="3331" width="15.28515625" customWidth="1"/>
    <col min="3332" max="3332" width="33.28515625" customWidth="1"/>
    <col min="3333" max="3333" width="9.140625" customWidth="1"/>
    <col min="3334" max="3334" width="10.140625" customWidth="1"/>
    <col min="3335" max="3335" width="16.5703125" customWidth="1"/>
    <col min="3336" max="3336" width="11.28515625" customWidth="1"/>
    <col min="3337" max="3337" width="12.85546875" customWidth="1"/>
    <col min="3338" max="3338" width="29.42578125" customWidth="1"/>
    <col min="3339" max="3339" width="19.140625" bestFit="1" customWidth="1"/>
    <col min="3340" max="3340" width="17.42578125" bestFit="1" customWidth="1"/>
    <col min="3585" max="3585" width="54.5703125" customWidth="1"/>
    <col min="3586" max="3586" width="26.85546875" customWidth="1"/>
    <col min="3587" max="3587" width="15.28515625" customWidth="1"/>
    <col min="3588" max="3588" width="33.28515625" customWidth="1"/>
    <col min="3589" max="3589" width="9.140625" customWidth="1"/>
    <col min="3590" max="3590" width="10.140625" customWidth="1"/>
    <col min="3591" max="3591" width="16.5703125" customWidth="1"/>
    <col min="3592" max="3592" width="11.28515625" customWidth="1"/>
    <col min="3593" max="3593" width="12.85546875" customWidth="1"/>
    <col min="3594" max="3594" width="29.42578125" customWidth="1"/>
    <col min="3595" max="3595" width="19.140625" bestFit="1" customWidth="1"/>
    <col min="3596" max="3596" width="17.42578125" bestFit="1" customWidth="1"/>
    <col min="3841" max="3841" width="54.5703125" customWidth="1"/>
    <col min="3842" max="3842" width="26.85546875" customWidth="1"/>
    <col min="3843" max="3843" width="15.28515625" customWidth="1"/>
    <col min="3844" max="3844" width="33.28515625" customWidth="1"/>
    <col min="3845" max="3845" width="9.140625" customWidth="1"/>
    <col min="3846" max="3846" width="10.140625" customWidth="1"/>
    <col min="3847" max="3847" width="16.5703125" customWidth="1"/>
    <col min="3848" max="3848" width="11.28515625" customWidth="1"/>
    <col min="3849" max="3849" width="12.85546875" customWidth="1"/>
    <col min="3850" max="3850" width="29.42578125" customWidth="1"/>
    <col min="3851" max="3851" width="19.140625" bestFit="1" customWidth="1"/>
    <col min="3852" max="3852" width="17.42578125" bestFit="1" customWidth="1"/>
    <col min="4097" max="4097" width="54.5703125" customWidth="1"/>
    <col min="4098" max="4098" width="26.85546875" customWidth="1"/>
    <col min="4099" max="4099" width="15.28515625" customWidth="1"/>
    <col min="4100" max="4100" width="33.28515625" customWidth="1"/>
    <col min="4101" max="4101" width="9.140625" customWidth="1"/>
    <col min="4102" max="4102" width="10.140625" customWidth="1"/>
    <col min="4103" max="4103" width="16.5703125" customWidth="1"/>
    <col min="4104" max="4104" width="11.28515625" customWidth="1"/>
    <col min="4105" max="4105" width="12.85546875" customWidth="1"/>
    <col min="4106" max="4106" width="29.42578125" customWidth="1"/>
    <col min="4107" max="4107" width="19.140625" bestFit="1" customWidth="1"/>
    <col min="4108" max="4108" width="17.42578125" bestFit="1" customWidth="1"/>
    <col min="4353" max="4353" width="54.5703125" customWidth="1"/>
    <col min="4354" max="4354" width="26.85546875" customWidth="1"/>
    <col min="4355" max="4355" width="15.28515625" customWidth="1"/>
    <col min="4356" max="4356" width="33.28515625" customWidth="1"/>
    <col min="4357" max="4357" width="9.140625" customWidth="1"/>
    <col min="4358" max="4358" width="10.140625" customWidth="1"/>
    <col min="4359" max="4359" width="16.5703125" customWidth="1"/>
    <col min="4360" max="4360" width="11.28515625" customWidth="1"/>
    <col min="4361" max="4361" width="12.85546875" customWidth="1"/>
    <col min="4362" max="4362" width="29.42578125" customWidth="1"/>
    <col min="4363" max="4363" width="19.140625" bestFit="1" customWidth="1"/>
    <col min="4364" max="4364" width="17.42578125" bestFit="1" customWidth="1"/>
    <col min="4609" max="4609" width="54.5703125" customWidth="1"/>
    <col min="4610" max="4610" width="26.85546875" customWidth="1"/>
    <col min="4611" max="4611" width="15.28515625" customWidth="1"/>
    <col min="4612" max="4612" width="33.28515625" customWidth="1"/>
    <col min="4613" max="4613" width="9.140625" customWidth="1"/>
    <col min="4614" max="4614" width="10.140625" customWidth="1"/>
    <col min="4615" max="4615" width="16.5703125" customWidth="1"/>
    <col min="4616" max="4616" width="11.28515625" customWidth="1"/>
    <col min="4617" max="4617" width="12.85546875" customWidth="1"/>
    <col min="4618" max="4618" width="29.42578125" customWidth="1"/>
    <col min="4619" max="4619" width="19.140625" bestFit="1" customWidth="1"/>
    <col min="4620" max="4620" width="17.42578125" bestFit="1" customWidth="1"/>
    <col min="4865" max="4865" width="54.5703125" customWidth="1"/>
    <col min="4866" max="4866" width="26.85546875" customWidth="1"/>
    <col min="4867" max="4867" width="15.28515625" customWidth="1"/>
    <col min="4868" max="4868" width="33.28515625" customWidth="1"/>
    <col min="4869" max="4869" width="9.140625" customWidth="1"/>
    <col min="4870" max="4870" width="10.140625" customWidth="1"/>
    <col min="4871" max="4871" width="16.5703125" customWidth="1"/>
    <col min="4872" max="4872" width="11.28515625" customWidth="1"/>
    <col min="4873" max="4873" width="12.85546875" customWidth="1"/>
    <col min="4874" max="4874" width="29.42578125" customWidth="1"/>
    <col min="4875" max="4875" width="19.140625" bestFit="1" customWidth="1"/>
    <col min="4876" max="4876" width="17.42578125" bestFit="1" customWidth="1"/>
    <col min="5121" max="5121" width="54.5703125" customWidth="1"/>
    <col min="5122" max="5122" width="26.85546875" customWidth="1"/>
    <col min="5123" max="5123" width="15.28515625" customWidth="1"/>
    <col min="5124" max="5124" width="33.28515625" customWidth="1"/>
    <col min="5125" max="5125" width="9.140625" customWidth="1"/>
    <col min="5126" max="5126" width="10.140625" customWidth="1"/>
    <col min="5127" max="5127" width="16.5703125" customWidth="1"/>
    <col min="5128" max="5128" width="11.28515625" customWidth="1"/>
    <col min="5129" max="5129" width="12.85546875" customWidth="1"/>
    <col min="5130" max="5130" width="29.42578125" customWidth="1"/>
    <col min="5131" max="5131" width="19.140625" bestFit="1" customWidth="1"/>
    <col min="5132" max="5132" width="17.42578125" bestFit="1" customWidth="1"/>
    <col min="5377" max="5377" width="54.5703125" customWidth="1"/>
    <col min="5378" max="5378" width="26.85546875" customWidth="1"/>
    <col min="5379" max="5379" width="15.28515625" customWidth="1"/>
    <col min="5380" max="5380" width="33.28515625" customWidth="1"/>
    <col min="5381" max="5381" width="9.140625" customWidth="1"/>
    <col min="5382" max="5382" width="10.140625" customWidth="1"/>
    <col min="5383" max="5383" width="16.5703125" customWidth="1"/>
    <col min="5384" max="5384" width="11.28515625" customWidth="1"/>
    <col min="5385" max="5385" width="12.85546875" customWidth="1"/>
    <col min="5386" max="5386" width="29.42578125" customWidth="1"/>
    <col min="5387" max="5387" width="19.140625" bestFit="1" customWidth="1"/>
    <col min="5388" max="5388" width="17.42578125" bestFit="1" customWidth="1"/>
    <col min="5633" max="5633" width="54.5703125" customWidth="1"/>
    <col min="5634" max="5634" width="26.85546875" customWidth="1"/>
    <col min="5635" max="5635" width="15.28515625" customWidth="1"/>
    <col min="5636" max="5636" width="33.28515625" customWidth="1"/>
    <col min="5637" max="5637" width="9.140625" customWidth="1"/>
    <col min="5638" max="5638" width="10.140625" customWidth="1"/>
    <col min="5639" max="5639" width="16.5703125" customWidth="1"/>
    <col min="5640" max="5640" width="11.28515625" customWidth="1"/>
    <col min="5641" max="5641" width="12.85546875" customWidth="1"/>
    <col min="5642" max="5642" width="29.42578125" customWidth="1"/>
    <col min="5643" max="5643" width="19.140625" bestFit="1" customWidth="1"/>
    <col min="5644" max="5644" width="17.42578125" bestFit="1" customWidth="1"/>
    <col min="5889" max="5889" width="54.5703125" customWidth="1"/>
    <col min="5890" max="5890" width="26.85546875" customWidth="1"/>
    <col min="5891" max="5891" width="15.28515625" customWidth="1"/>
    <col min="5892" max="5892" width="33.28515625" customWidth="1"/>
    <col min="5893" max="5893" width="9.140625" customWidth="1"/>
    <col min="5894" max="5894" width="10.140625" customWidth="1"/>
    <col min="5895" max="5895" width="16.5703125" customWidth="1"/>
    <col min="5896" max="5896" width="11.28515625" customWidth="1"/>
    <col min="5897" max="5897" width="12.85546875" customWidth="1"/>
    <col min="5898" max="5898" width="29.42578125" customWidth="1"/>
    <col min="5899" max="5899" width="19.140625" bestFit="1" customWidth="1"/>
    <col min="5900" max="5900" width="17.42578125" bestFit="1" customWidth="1"/>
    <col min="6145" max="6145" width="54.5703125" customWidth="1"/>
    <col min="6146" max="6146" width="26.85546875" customWidth="1"/>
    <col min="6147" max="6147" width="15.28515625" customWidth="1"/>
    <col min="6148" max="6148" width="33.28515625" customWidth="1"/>
    <col min="6149" max="6149" width="9.140625" customWidth="1"/>
    <col min="6150" max="6150" width="10.140625" customWidth="1"/>
    <col min="6151" max="6151" width="16.5703125" customWidth="1"/>
    <col min="6152" max="6152" width="11.28515625" customWidth="1"/>
    <col min="6153" max="6153" width="12.85546875" customWidth="1"/>
    <col min="6154" max="6154" width="29.42578125" customWidth="1"/>
    <col min="6155" max="6155" width="19.140625" bestFit="1" customWidth="1"/>
    <col min="6156" max="6156" width="17.42578125" bestFit="1" customWidth="1"/>
    <col min="6401" max="6401" width="54.5703125" customWidth="1"/>
    <col min="6402" max="6402" width="26.85546875" customWidth="1"/>
    <col min="6403" max="6403" width="15.28515625" customWidth="1"/>
    <col min="6404" max="6404" width="33.28515625" customWidth="1"/>
    <col min="6405" max="6405" width="9.140625" customWidth="1"/>
    <col min="6406" max="6406" width="10.140625" customWidth="1"/>
    <col min="6407" max="6407" width="16.5703125" customWidth="1"/>
    <col min="6408" max="6408" width="11.28515625" customWidth="1"/>
    <col min="6409" max="6409" width="12.85546875" customWidth="1"/>
    <col min="6410" max="6410" width="29.42578125" customWidth="1"/>
    <col min="6411" max="6411" width="19.140625" bestFit="1" customWidth="1"/>
    <col min="6412" max="6412" width="17.42578125" bestFit="1" customWidth="1"/>
    <col min="6657" max="6657" width="54.5703125" customWidth="1"/>
    <col min="6658" max="6658" width="26.85546875" customWidth="1"/>
    <col min="6659" max="6659" width="15.28515625" customWidth="1"/>
    <col min="6660" max="6660" width="33.28515625" customWidth="1"/>
    <col min="6661" max="6661" width="9.140625" customWidth="1"/>
    <col min="6662" max="6662" width="10.140625" customWidth="1"/>
    <col min="6663" max="6663" width="16.5703125" customWidth="1"/>
    <col min="6664" max="6664" width="11.28515625" customWidth="1"/>
    <col min="6665" max="6665" width="12.85546875" customWidth="1"/>
    <col min="6666" max="6666" width="29.42578125" customWidth="1"/>
    <col min="6667" max="6667" width="19.140625" bestFit="1" customWidth="1"/>
    <col min="6668" max="6668" width="17.42578125" bestFit="1" customWidth="1"/>
    <col min="6913" max="6913" width="54.5703125" customWidth="1"/>
    <col min="6914" max="6914" width="26.85546875" customWidth="1"/>
    <col min="6915" max="6915" width="15.28515625" customWidth="1"/>
    <col min="6916" max="6916" width="33.28515625" customWidth="1"/>
    <col min="6917" max="6917" width="9.140625" customWidth="1"/>
    <col min="6918" max="6918" width="10.140625" customWidth="1"/>
    <col min="6919" max="6919" width="16.5703125" customWidth="1"/>
    <col min="6920" max="6920" width="11.28515625" customWidth="1"/>
    <col min="6921" max="6921" width="12.85546875" customWidth="1"/>
    <col min="6922" max="6922" width="29.42578125" customWidth="1"/>
    <col min="6923" max="6923" width="19.140625" bestFit="1" customWidth="1"/>
    <col min="6924" max="6924" width="17.42578125" bestFit="1" customWidth="1"/>
    <col min="7169" max="7169" width="54.5703125" customWidth="1"/>
    <col min="7170" max="7170" width="26.85546875" customWidth="1"/>
    <col min="7171" max="7171" width="15.28515625" customWidth="1"/>
    <col min="7172" max="7172" width="33.28515625" customWidth="1"/>
    <col min="7173" max="7173" width="9.140625" customWidth="1"/>
    <col min="7174" max="7174" width="10.140625" customWidth="1"/>
    <col min="7175" max="7175" width="16.5703125" customWidth="1"/>
    <col min="7176" max="7176" width="11.28515625" customWidth="1"/>
    <col min="7177" max="7177" width="12.85546875" customWidth="1"/>
    <col min="7178" max="7178" width="29.42578125" customWidth="1"/>
    <col min="7179" max="7179" width="19.140625" bestFit="1" customWidth="1"/>
    <col min="7180" max="7180" width="17.42578125" bestFit="1" customWidth="1"/>
    <col min="7425" max="7425" width="54.5703125" customWidth="1"/>
    <col min="7426" max="7426" width="26.85546875" customWidth="1"/>
    <col min="7427" max="7427" width="15.28515625" customWidth="1"/>
    <col min="7428" max="7428" width="33.28515625" customWidth="1"/>
    <col min="7429" max="7429" width="9.140625" customWidth="1"/>
    <col min="7430" max="7430" width="10.140625" customWidth="1"/>
    <col min="7431" max="7431" width="16.5703125" customWidth="1"/>
    <col min="7432" max="7432" width="11.28515625" customWidth="1"/>
    <col min="7433" max="7433" width="12.85546875" customWidth="1"/>
    <col min="7434" max="7434" width="29.42578125" customWidth="1"/>
    <col min="7435" max="7435" width="19.140625" bestFit="1" customWidth="1"/>
    <col min="7436" max="7436" width="17.42578125" bestFit="1" customWidth="1"/>
    <col min="7681" max="7681" width="54.5703125" customWidth="1"/>
    <col min="7682" max="7682" width="26.85546875" customWidth="1"/>
    <col min="7683" max="7683" width="15.28515625" customWidth="1"/>
    <col min="7684" max="7684" width="33.28515625" customWidth="1"/>
    <col min="7685" max="7685" width="9.140625" customWidth="1"/>
    <col min="7686" max="7686" width="10.140625" customWidth="1"/>
    <col min="7687" max="7687" width="16.5703125" customWidth="1"/>
    <col min="7688" max="7688" width="11.28515625" customWidth="1"/>
    <col min="7689" max="7689" width="12.85546875" customWidth="1"/>
    <col min="7690" max="7690" width="29.42578125" customWidth="1"/>
    <col min="7691" max="7691" width="19.140625" bestFit="1" customWidth="1"/>
    <col min="7692" max="7692" width="17.42578125" bestFit="1" customWidth="1"/>
    <col min="7937" max="7937" width="54.5703125" customWidth="1"/>
    <col min="7938" max="7938" width="26.85546875" customWidth="1"/>
    <col min="7939" max="7939" width="15.28515625" customWidth="1"/>
    <col min="7940" max="7940" width="33.28515625" customWidth="1"/>
    <col min="7941" max="7941" width="9.140625" customWidth="1"/>
    <col min="7942" max="7942" width="10.140625" customWidth="1"/>
    <col min="7943" max="7943" width="16.5703125" customWidth="1"/>
    <col min="7944" max="7944" width="11.28515625" customWidth="1"/>
    <col min="7945" max="7945" width="12.85546875" customWidth="1"/>
    <col min="7946" max="7946" width="29.42578125" customWidth="1"/>
    <col min="7947" max="7947" width="19.140625" bestFit="1" customWidth="1"/>
    <col min="7948" max="7948" width="17.42578125" bestFit="1" customWidth="1"/>
    <col min="8193" max="8193" width="54.5703125" customWidth="1"/>
    <col min="8194" max="8194" width="26.85546875" customWidth="1"/>
    <col min="8195" max="8195" width="15.28515625" customWidth="1"/>
    <col min="8196" max="8196" width="33.28515625" customWidth="1"/>
    <col min="8197" max="8197" width="9.140625" customWidth="1"/>
    <col min="8198" max="8198" width="10.140625" customWidth="1"/>
    <col min="8199" max="8199" width="16.5703125" customWidth="1"/>
    <col min="8200" max="8200" width="11.28515625" customWidth="1"/>
    <col min="8201" max="8201" width="12.85546875" customWidth="1"/>
    <col min="8202" max="8202" width="29.42578125" customWidth="1"/>
    <col min="8203" max="8203" width="19.140625" bestFit="1" customWidth="1"/>
    <col min="8204" max="8204" width="17.42578125" bestFit="1" customWidth="1"/>
    <col min="8449" max="8449" width="54.5703125" customWidth="1"/>
    <col min="8450" max="8450" width="26.85546875" customWidth="1"/>
    <col min="8451" max="8451" width="15.28515625" customWidth="1"/>
    <col min="8452" max="8452" width="33.28515625" customWidth="1"/>
    <col min="8453" max="8453" width="9.140625" customWidth="1"/>
    <col min="8454" max="8454" width="10.140625" customWidth="1"/>
    <col min="8455" max="8455" width="16.5703125" customWidth="1"/>
    <col min="8456" max="8456" width="11.28515625" customWidth="1"/>
    <col min="8457" max="8457" width="12.85546875" customWidth="1"/>
    <col min="8458" max="8458" width="29.42578125" customWidth="1"/>
    <col min="8459" max="8459" width="19.140625" bestFit="1" customWidth="1"/>
    <col min="8460" max="8460" width="17.42578125" bestFit="1" customWidth="1"/>
    <col min="8705" max="8705" width="54.5703125" customWidth="1"/>
    <col min="8706" max="8706" width="26.85546875" customWidth="1"/>
    <col min="8707" max="8707" width="15.28515625" customWidth="1"/>
    <col min="8708" max="8708" width="33.28515625" customWidth="1"/>
    <col min="8709" max="8709" width="9.140625" customWidth="1"/>
    <col min="8710" max="8710" width="10.140625" customWidth="1"/>
    <col min="8711" max="8711" width="16.5703125" customWidth="1"/>
    <col min="8712" max="8712" width="11.28515625" customWidth="1"/>
    <col min="8713" max="8713" width="12.85546875" customWidth="1"/>
    <col min="8714" max="8714" width="29.42578125" customWidth="1"/>
    <col min="8715" max="8715" width="19.140625" bestFit="1" customWidth="1"/>
    <col min="8716" max="8716" width="17.42578125" bestFit="1" customWidth="1"/>
    <col min="8961" max="8961" width="54.5703125" customWidth="1"/>
    <col min="8962" max="8962" width="26.85546875" customWidth="1"/>
    <col min="8963" max="8963" width="15.28515625" customWidth="1"/>
    <col min="8964" max="8964" width="33.28515625" customWidth="1"/>
    <col min="8965" max="8965" width="9.140625" customWidth="1"/>
    <col min="8966" max="8966" width="10.140625" customWidth="1"/>
    <col min="8967" max="8967" width="16.5703125" customWidth="1"/>
    <col min="8968" max="8968" width="11.28515625" customWidth="1"/>
    <col min="8969" max="8969" width="12.85546875" customWidth="1"/>
    <col min="8970" max="8970" width="29.42578125" customWidth="1"/>
    <col min="8971" max="8971" width="19.140625" bestFit="1" customWidth="1"/>
    <col min="8972" max="8972" width="17.42578125" bestFit="1" customWidth="1"/>
    <col min="9217" max="9217" width="54.5703125" customWidth="1"/>
    <col min="9218" max="9218" width="26.85546875" customWidth="1"/>
    <col min="9219" max="9219" width="15.28515625" customWidth="1"/>
    <col min="9220" max="9220" width="33.28515625" customWidth="1"/>
    <col min="9221" max="9221" width="9.140625" customWidth="1"/>
    <col min="9222" max="9222" width="10.140625" customWidth="1"/>
    <col min="9223" max="9223" width="16.5703125" customWidth="1"/>
    <col min="9224" max="9224" width="11.28515625" customWidth="1"/>
    <col min="9225" max="9225" width="12.85546875" customWidth="1"/>
    <col min="9226" max="9226" width="29.42578125" customWidth="1"/>
    <col min="9227" max="9227" width="19.140625" bestFit="1" customWidth="1"/>
    <col min="9228" max="9228" width="17.42578125" bestFit="1" customWidth="1"/>
    <col min="9473" max="9473" width="54.5703125" customWidth="1"/>
    <col min="9474" max="9474" width="26.85546875" customWidth="1"/>
    <col min="9475" max="9475" width="15.28515625" customWidth="1"/>
    <col min="9476" max="9476" width="33.28515625" customWidth="1"/>
    <col min="9477" max="9477" width="9.140625" customWidth="1"/>
    <col min="9478" max="9478" width="10.140625" customWidth="1"/>
    <col min="9479" max="9479" width="16.5703125" customWidth="1"/>
    <col min="9480" max="9480" width="11.28515625" customWidth="1"/>
    <col min="9481" max="9481" width="12.85546875" customWidth="1"/>
    <col min="9482" max="9482" width="29.42578125" customWidth="1"/>
    <col min="9483" max="9483" width="19.140625" bestFit="1" customWidth="1"/>
    <col min="9484" max="9484" width="17.42578125" bestFit="1" customWidth="1"/>
    <col min="9729" max="9729" width="54.5703125" customWidth="1"/>
    <col min="9730" max="9730" width="26.85546875" customWidth="1"/>
    <col min="9731" max="9731" width="15.28515625" customWidth="1"/>
    <col min="9732" max="9732" width="33.28515625" customWidth="1"/>
    <col min="9733" max="9733" width="9.140625" customWidth="1"/>
    <col min="9734" max="9734" width="10.140625" customWidth="1"/>
    <col min="9735" max="9735" width="16.5703125" customWidth="1"/>
    <col min="9736" max="9736" width="11.28515625" customWidth="1"/>
    <col min="9737" max="9737" width="12.85546875" customWidth="1"/>
    <col min="9738" max="9738" width="29.42578125" customWidth="1"/>
    <col min="9739" max="9739" width="19.140625" bestFit="1" customWidth="1"/>
    <col min="9740" max="9740" width="17.42578125" bestFit="1" customWidth="1"/>
    <col min="9985" max="9985" width="54.5703125" customWidth="1"/>
    <col min="9986" max="9986" width="26.85546875" customWidth="1"/>
    <col min="9987" max="9987" width="15.28515625" customWidth="1"/>
    <col min="9988" max="9988" width="33.28515625" customWidth="1"/>
    <col min="9989" max="9989" width="9.140625" customWidth="1"/>
    <col min="9990" max="9990" width="10.140625" customWidth="1"/>
    <col min="9991" max="9991" width="16.5703125" customWidth="1"/>
    <col min="9992" max="9992" width="11.28515625" customWidth="1"/>
    <col min="9993" max="9993" width="12.85546875" customWidth="1"/>
    <col min="9994" max="9994" width="29.42578125" customWidth="1"/>
    <col min="9995" max="9995" width="19.140625" bestFit="1" customWidth="1"/>
    <col min="9996" max="9996" width="17.42578125" bestFit="1" customWidth="1"/>
    <col min="10241" max="10241" width="54.5703125" customWidth="1"/>
    <col min="10242" max="10242" width="26.85546875" customWidth="1"/>
    <col min="10243" max="10243" width="15.28515625" customWidth="1"/>
    <col min="10244" max="10244" width="33.28515625" customWidth="1"/>
    <col min="10245" max="10245" width="9.140625" customWidth="1"/>
    <col min="10246" max="10246" width="10.140625" customWidth="1"/>
    <col min="10247" max="10247" width="16.5703125" customWidth="1"/>
    <col min="10248" max="10248" width="11.28515625" customWidth="1"/>
    <col min="10249" max="10249" width="12.85546875" customWidth="1"/>
    <col min="10250" max="10250" width="29.42578125" customWidth="1"/>
    <col min="10251" max="10251" width="19.140625" bestFit="1" customWidth="1"/>
    <col min="10252" max="10252" width="17.42578125" bestFit="1" customWidth="1"/>
    <col min="10497" max="10497" width="54.5703125" customWidth="1"/>
    <col min="10498" max="10498" width="26.85546875" customWidth="1"/>
    <col min="10499" max="10499" width="15.28515625" customWidth="1"/>
    <col min="10500" max="10500" width="33.28515625" customWidth="1"/>
    <col min="10501" max="10501" width="9.140625" customWidth="1"/>
    <col min="10502" max="10502" width="10.140625" customWidth="1"/>
    <col min="10503" max="10503" width="16.5703125" customWidth="1"/>
    <col min="10504" max="10504" width="11.28515625" customWidth="1"/>
    <col min="10505" max="10505" width="12.85546875" customWidth="1"/>
    <col min="10506" max="10506" width="29.42578125" customWidth="1"/>
    <col min="10507" max="10507" width="19.140625" bestFit="1" customWidth="1"/>
    <col min="10508" max="10508" width="17.42578125" bestFit="1" customWidth="1"/>
    <col min="10753" max="10753" width="54.5703125" customWidth="1"/>
    <col min="10754" max="10754" width="26.85546875" customWidth="1"/>
    <col min="10755" max="10755" width="15.28515625" customWidth="1"/>
    <col min="10756" max="10756" width="33.28515625" customWidth="1"/>
    <col min="10757" max="10757" width="9.140625" customWidth="1"/>
    <col min="10758" max="10758" width="10.140625" customWidth="1"/>
    <col min="10759" max="10759" width="16.5703125" customWidth="1"/>
    <col min="10760" max="10760" width="11.28515625" customWidth="1"/>
    <col min="10761" max="10761" width="12.85546875" customWidth="1"/>
    <col min="10762" max="10762" width="29.42578125" customWidth="1"/>
    <col min="10763" max="10763" width="19.140625" bestFit="1" customWidth="1"/>
    <col min="10764" max="10764" width="17.42578125" bestFit="1" customWidth="1"/>
    <col min="11009" max="11009" width="54.5703125" customWidth="1"/>
    <col min="11010" max="11010" width="26.85546875" customWidth="1"/>
    <col min="11011" max="11011" width="15.28515625" customWidth="1"/>
    <col min="11012" max="11012" width="33.28515625" customWidth="1"/>
    <col min="11013" max="11013" width="9.140625" customWidth="1"/>
    <col min="11014" max="11014" width="10.140625" customWidth="1"/>
    <col min="11015" max="11015" width="16.5703125" customWidth="1"/>
    <col min="11016" max="11016" width="11.28515625" customWidth="1"/>
    <col min="11017" max="11017" width="12.85546875" customWidth="1"/>
    <col min="11018" max="11018" width="29.42578125" customWidth="1"/>
    <col min="11019" max="11019" width="19.140625" bestFit="1" customWidth="1"/>
    <col min="11020" max="11020" width="17.42578125" bestFit="1" customWidth="1"/>
    <col min="11265" max="11265" width="54.5703125" customWidth="1"/>
    <col min="11266" max="11266" width="26.85546875" customWidth="1"/>
    <col min="11267" max="11267" width="15.28515625" customWidth="1"/>
    <col min="11268" max="11268" width="33.28515625" customWidth="1"/>
    <col min="11269" max="11269" width="9.140625" customWidth="1"/>
    <col min="11270" max="11270" width="10.140625" customWidth="1"/>
    <col min="11271" max="11271" width="16.5703125" customWidth="1"/>
    <col min="11272" max="11272" width="11.28515625" customWidth="1"/>
    <col min="11273" max="11273" width="12.85546875" customWidth="1"/>
    <col min="11274" max="11274" width="29.42578125" customWidth="1"/>
    <col min="11275" max="11275" width="19.140625" bestFit="1" customWidth="1"/>
    <col min="11276" max="11276" width="17.42578125" bestFit="1" customWidth="1"/>
    <col min="11521" max="11521" width="54.5703125" customWidth="1"/>
    <col min="11522" max="11522" width="26.85546875" customWidth="1"/>
    <col min="11523" max="11523" width="15.28515625" customWidth="1"/>
    <col min="11524" max="11524" width="33.28515625" customWidth="1"/>
    <col min="11525" max="11525" width="9.140625" customWidth="1"/>
    <col min="11526" max="11526" width="10.140625" customWidth="1"/>
    <col min="11527" max="11527" width="16.5703125" customWidth="1"/>
    <col min="11528" max="11528" width="11.28515625" customWidth="1"/>
    <col min="11529" max="11529" width="12.85546875" customWidth="1"/>
    <col min="11530" max="11530" width="29.42578125" customWidth="1"/>
    <col min="11531" max="11531" width="19.140625" bestFit="1" customWidth="1"/>
    <col min="11532" max="11532" width="17.42578125" bestFit="1" customWidth="1"/>
    <col min="11777" max="11777" width="54.5703125" customWidth="1"/>
    <col min="11778" max="11778" width="26.85546875" customWidth="1"/>
    <col min="11779" max="11779" width="15.28515625" customWidth="1"/>
    <col min="11780" max="11780" width="33.28515625" customWidth="1"/>
    <col min="11781" max="11781" width="9.140625" customWidth="1"/>
    <col min="11782" max="11782" width="10.140625" customWidth="1"/>
    <col min="11783" max="11783" width="16.5703125" customWidth="1"/>
    <col min="11784" max="11784" width="11.28515625" customWidth="1"/>
    <col min="11785" max="11785" width="12.85546875" customWidth="1"/>
    <col min="11786" max="11786" width="29.42578125" customWidth="1"/>
    <col min="11787" max="11787" width="19.140625" bestFit="1" customWidth="1"/>
    <col min="11788" max="11788" width="17.42578125" bestFit="1" customWidth="1"/>
    <col min="12033" max="12033" width="54.5703125" customWidth="1"/>
    <col min="12034" max="12034" width="26.85546875" customWidth="1"/>
    <col min="12035" max="12035" width="15.28515625" customWidth="1"/>
    <col min="12036" max="12036" width="33.28515625" customWidth="1"/>
    <col min="12037" max="12037" width="9.140625" customWidth="1"/>
    <col min="12038" max="12038" width="10.140625" customWidth="1"/>
    <col min="12039" max="12039" width="16.5703125" customWidth="1"/>
    <col min="12040" max="12040" width="11.28515625" customWidth="1"/>
    <col min="12041" max="12041" width="12.85546875" customWidth="1"/>
    <col min="12042" max="12042" width="29.42578125" customWidth="1"/>
    <col min="12043" max="12043" width="19.140625" bestFit="1" customWidth="1"/>
    <col min="12044" max="12044" width="17.42578125" bestFit="1" customWidth="1"/>
    <col min="12289" max="12289" width="54.5703125" customWidth="1"/>
    <col min="12290" max="12290" width="26.85546875" customWidth="1"/>
    <col min="12291" max="12291" width="15.28515625" customWidth="1"/>
    <col min="12292" max="12292" width="33.28515625" customWidth="1"/>
    <col min="12293" max="12293" width="9.140625" customWidth="1"/>
    <col min="12294" max="12294" width="10.140625" customWidth="1"/>
    <col min="12295" max="12295" width="16.5703125" customWidth="1"/>
    <col min="12296" max="12296" width="11.28515625" customWidth="1"/>
    <col min="12297" max="12297" width="12.85546875" customWidth="1"/>
    <col min="12298" max="12298" width="29.42578125" customWidth="1"/>
    <col min="12299" max="12299" width="19.140625" bestFit="1" customWidth="1"/>
    <col min="12300" max="12300" width="17.42578125" bestFit="1" customWidth="1"/>
    <col min="12545" max="12545" width="54.5703125" customWidth="1"/>
    <col min="12546" max="12546" width="26.85546875" customWidth="1"/>
    <col min="12547" max="12547" width="15.28515625" customWidth="1"/>
    <col min="12548" max="12548" width="33.28515625" customWidth="1"/>
    <col min="12549" max="12549" width="9.140625" customWidth="1"/>
    <col min="12550" max="12550" width="10.140625" customWidth="1"/>
    <col min="12551" max="12551" width="16.5703125" customWidth="1"/>
    <col min="12552" max="12552" width="11.28515625" customWidth="1"/>
    <col min="12553" max="12553" width="12.85546875" customWidth="1"/>
    <col min="12554" max="12554" width="29.42578125" customWidth="1"/>
    <col min="12555" max="12555" width="19.140625" bestFit="1" customWidth="1"/>
    <col min="12556" max="12556" width="17.42578125" bestFit="1" customWidth="1"/>
    <col min="12801" max="12801" width="54.5703125" customWidth="1"/>
    <col min="12802" max="12802" width="26.85546875" customWidth="1"/>
    <col min="12803" max="12803" width="15.28515625" customWidth="1"/>
    <col min="12804" max="12804" width="33.28515625" customWidth="1"/>
    <col min="12805" max="12805" width="9.140625" customWidth="1"/>
    <col min="12806" max="12806" width="10.140625" customWidth="1"/>
    <col min="12807" max="12807" width="16.5703125" customWidth="1"/>
    <col min="12808" max="12808" width="11.28515625" customWidth="1"/>
    <col min="12809" max="12809" width="12.85546875" customWidth="1"/>
    <col min="12810" max="12810" width="29.42578125" customWidth="1"/>
    <col min="12811" max="12811" width="19.140625" bestFit="1" customWidth="1"/>
    <col min="12812" max="12812" width="17.42578125" bestFit="1" customWidth="1"/>
    <col min="13057" max="13057" width="54.5703125" customWidth="1"/>
    <col min="13058" max="13058" width="26.85546875" customWidth="1"/>
    <col min="13059" max="13059" width="15.28515625" customWidth="1"/>
    <col min="13060" max="13060" width="33.28515625" customWidth="1"/>
    <col min="13061" max="13061" width="9.140625" customWidth="1"/>
    <col min="13062" max="13062" width="10.140625" customWidth="1"/>
    <col min="13063" max="13063" width="16.5703125" customWidth="1"/>
    <col min="13064" max="13064" width="11.28515625" customWidth="1"/>
    <col min="13065" max="13065" width="12.85546875" customWidth="1"/>
    <col min="13066" max="13066" width="29.42578125" customWidth="1"/>
    <col min="13067" max="13067" width="19.140625" bestFit="1" customWidth="1"/>
    <col min="13068" max="13068" width="17.42578125" bestFit="1" customWidth="1"/>
    <col min="13313" max="13313" width="54.5703125" customWidth="1"/>
    <col min="13314" max="13314" width="26.85546875" customWidth="1"/>
    <col min="13315" max="13315" width="15.28515625" customWidth="1"/>
    <col min="13316" max="13316" width="33.28515625" customWidth="1"/>
    <col min="13317" max="13317" width="9.140625" customWidth="1"/>
    <col min="13318" max="13318" width="10.140625" customWidth="1"/>
    <col min="13319" max="13319" width="16.5703125" customWidth="1"/>
    <col min="13320" max="13320" width="11.28515625" customWidth="1"/>
    <col min="13321" max="13321" width="12.85546875" customWidth="1"/>
    <col min="13322" max="13322" width="29.42578125" customWidth="1"/>
    <col min="13323" max="13323" width="19.140625" bestFit="1" customWidth="1"/>
    <col min="13324" max="13324" width="17.42578125" bestFit="1" customWidth="1"/>
    <col min="13569" max="13569" width="54.5703125" customWidth="1"/>
    <col min="13570" max="13570" width="26.85546875" customWidth="1"/>
    <col min="13571" max="13571" width="15.28515625" customWidth="1"/>
    <col min="13572" max="13572" width="33.28515625" customWidth="1"/>
    <col min="13573" max="13573" width="9.140625" customWidth="1"/>
    <col min="13574" max="13574" width="10.140625" customWidth="1"/>
    <col min="13575" max="13575" width="16.5703125" customWidth="1"/>
    <col min="13576" max="13576" width="11.28515625" customWidth="1"/>
    <col min="13577" max="13577" width="12.85546875" customWidth="1"/>
    <col min="13578" max="13578" width="29.42578125" customWidth="1"/>
    <col min="13579" max="13579" width="19.140625" bestFit="1" customWidth="1"/>
    <col min="13580" max="13580" width="17.42578125" bestFit="1" customWidth="1"/>
    <col min="13825" max="13825" width="54.5703125" customWidth="1"/>
    <col min="13826" max="13826" width="26.85546875" customWidth="1"/>
    <col min="13827" max="13827" width="15.28515625" customWidth="1"/>
    <col min="13828" max="13828" width="33.28515625" customWidth="1"/>
    <col min="13829" max="13829" width="9.140625" customWidth="1"/>
    <col min="13830" max="13830" width="10.140625" customWidth="1"/>
    <col min="13831" max="13831" width="16.5703125" customWidth="1"/>
    <col min="13832" max="13832" width="11.28515625" customWidth="1"/>
    <col min="13833" max="13833" width="12.85546875" customWidth="1"/>
    <col min="13834" max="13834" width="29.42578125" customWidth="1"/>
    <col min="13835" max="13835" width="19.140625" bestFit="1" customWidth="1"/>
    <col min="13836" max="13836" width="17.42578125" bestFit="1" customWidth="1"/>
    <col min="14081" max="14081" width="54.5703125" customWidth="1"/>
    <col min="14082" max="14082" width="26.85546875" customWidth="1"/>
    <col min="14083" max="14083" width="15.28515625" customWidth="1"/>
    <col min="14084" max="14084" width="33.28515625" customWidth="1"/>
    <col min="14085" max="14085" width="9.140625" customWidth="1"/>
    <col min="14086" max="14086" width="10.140625" customWidth="1"/>
    <col min="14087" max="14087" width="16.5703125" customWidth="1"/>
    <col min="14088" max="14088" width="11.28515625" customWidth="1"/>
    <col min="14089" max="14089" width="12.85546875" customWidth="1"/>
    <col min="14090" max="14090" width="29.42578125" customWidth="1"/>
    <col min="14091" max="14091" width="19.140625" bestFit="1" customWidth="1"/>
    <col min="14092" max="14092" width="17.42578125" bestFit="1" customWidth="1"/>
    <col min="14337" max="14337" width="54.5703125" customWidth="1"/>
    <col min="14338" max="14338" width="26.85546875" customWidth="1"/>
    <col min="14339" max="14339" width="15.28515625" customWidth="1"/>
    <col min="14340" max="14340" width="33.28515625" customWidth="1"/>
    <col min="14341" max="14341" width="9.140625" customWidth="1"/>
    <col min="14342" max="14342" width="10.140625" customWidth="1"/>
    <col min="14343" max="14343" width="16.5703125" customWidth="1"/>
    <col min="14344" max="14344" width="11.28515625" customWidth="1"/>
    <col min="14345" max="14345" width="12.85546875" customWidth="1"/>
    <col min="14346" max="14346" width="29.42578125" customWidth="1"/>
    <col min="14347" max="14347" width="19.140625" bestFit="1" customWidth="1"/>
    <col min="14348" max="14348" width="17.42578125" bestFit="1" customWidth="1"/>
    <col min="14593" max="14593" width="54.5703125" customWidth="1"/>
    <col min="14594" max="14594" width="26.85546875" customWidth="1"/>
    <col min="14595" max="14595" width="15.28515625" customWidth="1"/>
    <col min="14596" max="14596" width="33.28515625" customWidth="1"/>
    <col min="14597" max="14597" width="9.140625" customWidth="1"/>
    <col min="14598" max="14598" width="10.140625" customWidth="1"/>
    <col min="14599" max="14599" width="16.5703125" customWidth="1"/>
    <col min="14600" max="14600" width="11.28515625" customWidth="1"/>
    <col min="14601" max="14601" width="12.85546875" customWidth="1"/>
    <col min="14602" max="14602" width="29.42578125" customWidth="1"/>
    <col min="14603" max="14603" width="19.140625" bestFit="1" customWidth="1"/>
    <col min="14604" max="14604" width="17.42578125" bestFit="1" customWidth="1"/>
    <col min="14849" max="14849" width="54.5703125" customWidth="1"/>
    <col min="14850" max="14850" width="26.85546875" customWidth="1"/>
    <col min="14851" max="14851" width="15.28515625" customWidth="1"/>
    <col min="14852" max="14852" width="33.28515625" customWidth="1"/>
    <col min="14853" max="14853" width="9.140625" customWidth="1"/>
    <col min="14854" max="14854" width="10.140625" customWidth="1"/>
    <col min="14855" max="14855" width="16.5703125" customWidth="1"/>
    <col min="14856" max="14856" width="11.28515625" customWidth="1"/>
    <col min="14857" max="14857" width="12.85546875" customWidth="1"/>
    <col min="14858" max="14858" width="29.42578125" customWidth="1"/>
    <col min="14859" max="14859" width="19.140625" bestFit="1" customWidth="1"/>
    <col min="14860" max="14860" width="17.42578125" bestFit="1" customWidth="1"/>
    <col min="15105" max="15105" width="54.5703125" customWidth="1"/>
    <col min="15106" max="15106" width="26.85546875" customWidth="1"/>
    <col min="15107" max="15107" width="15.28515625" customWidth="1"/>
    <col min="15108" max="15108" width="33.28515625" customWidth="1"/>
    <col min="15109" max="15109" width="9.140625" customWidth="1"/>
    <col min="15110" max="15110" width="10.140625" customWidth="1"/>
    <col min="15111" max="15111" width="16.5703125" customWidth="1"/>
    <col min="15112" max="15112" width="11.28515625" customWidth="1"/>
    <col min="15113" max="15113" width="12.85546875" customWidth="1"/>
    <col min="15114" max="15114" width="29.42578125" customWidth="1"/>
    <col min="15115" max="15115" width="19.140625" bestFit="1" customWidth="1"/>
    <col min="15116" max="15116" width="17.42578125" bestFit="1" customWidth="1"/>
    <col min="15361" max="15361" width="54.5703125" customWidth="1"/>
    <col min="15362" max="15362" width="26.85546875" customWidth="1"/>
    <col min="15363" max="15363" width="15.28515625" customWidth="1"/>
    <col min="15364" max="15364" width="33.28515625" customWidth="1"/>
    <col min="15365" max="15365" width="9.140625" customWidth="1"/>
    <col min="15366" max="15366" width="10.140625" customWidth="1"/>
    <col min="15367" max="15367" width="16.5703125" customWidth="1"/>
    <col min="15368" max="15368" width="11.28515625" customWidth="1"/>
    <col min="15369" max="15369" width="12.85546875" customWidth="1"/>
    <col min="15370" max="15370" width="29.42578125" customWidth="1"/>
    <col min="15371" max="15371" width="19.140625" bestFit="1" customWidth="1"/>
    <col min="15372" max="15372" width="17.42578125" bestFit="1" customWidth="1"/>
    <col min="15617" max="15617" width="54.5703125" customWidth="1"/>
    <col min="15618" max="15618" width="26.85546875" customWidth="1"/>
    <col min="15619" max="15619" width="15.28515625" customWidth="1"/>
    <col min="15620" max="15620" width="33.28515625" customWidth="1"/>
    <col min="15621" max="15621" width="9.140625" customWidth="1"/>
    <col min="15622" max="15622" width="10.140625" customWidth="1"/>
    <col min="15623" max="15623" width="16.5703125" customWidth="1"/>
    <col min="15624" max="15624" width="11.28515625" customWidth="1"/>
    <col min="15625" max="15625" width="12.85546875" customWidth="1"/>
    <col min="15626" max="15626" width="29.42578125" customWidth="1"/>
    <col min="15627" max="15627" width="19.140625" bestFit="1" customWidth="1"/>
    <col min="15628" max="15628" width="17.42578125" bestFit="1" customWidth="1"/>
    <col min="15873" max="15873" width="54.5703125" customWidth="1"/>
    <col min="15874" max="15874" width="26.85546875" customWidth="1"/>
    <col min="15875" max="15875" width="15.28515625" customWidth="1"/>
    <col min="15876" max="15876" width="33.28515625" customWidth="1"/>
    <col min="15877" max="15877" width="9.140625" customWidth="1"/>
    <col min="15878" max="15878" width="10.140625" customWidth="1"/>
    <col min="15879" max="15879" width="16.5703125" customWidth="1"/>
    <col min="15880" max="15880" width="11.28515625" customWidth="1"/>
    <col min="15881" max="15881" width="12.85546875" customWidth="1"/>
    <col min="15882" max="15882" width="29.42578125" customWidth="1"/>
    <col min="15883" max="15883" width="19.140625" bestFit="1" customWidth="1"/>
    <col min="15884" max="15884" width="17.42578125" bestFit="1" customWidth="1"/>
    <col min="16129" max="16129" width="54.5703125" customWidth="1"/>
    <col min="16130" max="16130" width="26.85546875" customWidth="1"/>
    <col min="16131" max="16131" width="15.28515625" customWidth="1"/>
    <col min="16132" max="16132" width="33.28515625" customWidth="1"/>
    <col min="16133" max="16133" width="9.140625" customWidth="1"/>
    <col min="16134" max="16134" width="10.140625" customWidth="1"/>
    <col min="16135" max="16135" width="16.5703125" customWidth="1"/>
    <col min="16136" max="16136" width="11.28515625" customWidth="1"/>
    <col min="16137" max="16137" width="12.85546875" customWidth="1"/>
    <col min="16138" max="16138" width="29.42578125" customWidth="1"/>
    <col min="16139" max="16139" width="19.140625" bestFit="1" customWidth="1"/>
    <col min="16140" max="16140" width="17.42578125" bestFit="1" customWidth="1"/>
  </cols>
  <sheetData>
    <row r="1" spans="1:11" s="744" customFormat="1" ht="26.25" customHeight="1">
      <c r="A1" s="743" t="s">
        <v>235</v>
      </c>
      <c r="B1" s="176"/>
      <c r="H1" s="745"/>
      <c r="I1" s="745"/>
      <c r="J1" s="745"/>
    </row>
    <row r="2" spans="1:11" s="744" customFormat="1" ht="19.5" customHeight="1">
      <c r="A2" s="746" t="s">
        <v>1169</v>
      </c>
      <c r="B2" s="176"/>
      <c r="C2" s="179"/>
      <c r="D2" s="179"/>
      <c r="E2" s="179"/>
      <c r="F2" s="179"/>
      <c r="G2" s="179"/>
      <c r="H2" s="179"/>
      <c r="I2" s="179"/>
      <c r="J2" s="179"/>
      <c r="K2" s="180" t="s">
        <v>234</v>
      </c>
    </row>
    <row r="3" spans="1:11" s="177" customFormat="1" ht="22.5" customHeight="1">
      <c r="A3" s="747" t="s">
        <v>238</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c r="A6" s="184" t="s">
        <v>228</v>
      </c>
      <c r="B6" s="184" t="s">
        <v>227</v>
      </c>
      <c r="C6" s="184" t="s">
        <v>226</v>
      </c>
      <c r="D6" s="184"/>
      <c r="E6" s="183" t="s">
        <v>225</v>
      </c>
      <c r="F6" s="183"/>
      <c r="G6" s="184" t="s">
        <v>224</v>
      </c>
      <c r="H6" s="1457" t="s">
        <v>223</v>
      </c>
      <c r="I6" s="1457"/>
      <c r="J6" s="183" t="s">
        <v>222</v>
      </c>
      <c r="K6" s="184" t="s">
        <v>221</v>
      </c>
    </row>
    <row r="7" spans="1:11" s="186" customFormat="1" ht="24.75" customHeight="1">
      <c r="A7" s="1382" t="s">
        <v>220</v>
      </c>
      <c r="B7" s="1379" t="s">
        <v>219</v>
      </c>
      <c r="C7" s="1379" t="s">
        <v>218</v>
      </c>
      <c r="D7" s="1379" t="s">
        <v>217</v>
      </c>
      <c r="E7" s="1379" t="s">
        <v>216</v>
      </c>
      <c r="F7" s="1379"/>
      <c r="G7" s="1379" t="s">
        <v>215</v>
      </c>
      <c r="H7" s="1455" t="s">
        <v>214</v>
      </c>
      <c r="I7" s="1455"/>
      <c r="J7" s="1455" t="s">
        <v>240</v>
      </c>
      <c r="K7" s="1380" t="s">
        <v>212</v>
      </c>
    </row>
    <row r="8" spans="1:11" s="186" customFormat="1" ht="24.75" customHeight="1">
      <c r="A8" s="1382"/>
      <c r="B8" s="1379"/>
      <c r="C8" s="1379"/>
      <c r="D8" s="1379"/>
      <c r="E8" s="187" t="s">
        <v>211</v>
      </c>
      <c r="F8" s="187" t="s">
        <v>210</v>
      </c>
      <c r="G8" s="1379"/>
      <c r="H8" s="748" t="s">
        <v>211</v>
      </c>
      <c r="I8" s="748" t="s">
        <v>210</v>
      </c>
      <c r="J8" s="1455"/>
      <c r="K8" s="1380"/>
    </row>
    <row r="9" spans="1:11" ht="15.95" customHeight="1">
      <c r="A9" s="188" t="s">
        <v>208</v>
      </c>
      <c r="B9" s="189"/>
      <c r="C9" s="189"/>
      <c r="D9" s="189"/>
      <c r="E9" s="189"/>
      <c r="F9" s="189"/>
      <c r="G9" s="189"/>
      <c r="H9" s="188"/>
      <c r="I9" s="188"/>
      <c r="J9" s="188"/>
      <c r="K9" s="749">
        <f>SUM(K10)</f>
        <v>0</v>
      </c>
    </row>
    <row r="10" spans="1:11" ht="19.5" customHeight="1">
      <c r="A10" s="192"/>
      <c r="B10" s="193"/>
      <c r="C10" s="193"/>
      <c r="D10" s="194"/>
      <c r="E10" s="194"/>
      <c r="F10" s="194"/>
      <c r="G10" s="193"/>
      <c r="H10" s="256"/>
      <c r="I10" s="256"/>
      <c r="J10" s="256"/>
      <c r="K10" s="750"/>
    </row>
    <row r="11" spans="1:11" ht="15.95" customHeight="1">
      <c r="A11" s="188" t="s">
        <v>207</v>
      </c>
      <c r="B11" s="189"/>
      <c r="C11" s="189"/>
      <c r="D11" s="196"/>
      <c r="E11" s="196"/>
      <c r="F11" s="196"/>
      <c r="G11" s="189"/>
      <c r="H11" s="188"/>
      <c r="I11" s="188"/>
      <c r="J11" s="188"/>
      <c r="K11" s="749">
        <f>SUM(K12:K21)</f>
        <v>3197000811.6399994</v>
      </c>
    </row>
    <row r="12" spans="1:11" ht="30.75" customHeight="1">
      <c r="A12" s="751" t="s">
        <v>1170</v>
      </c>
      <c r="B12" s="432" t="s">
        <v>647</v>
      </c>
      <c r="C12" s="432" t="s">
        <v>109</v>
      </c>
      <c r="D12" s="432" t="s">
        <v>1171</v>
      </c>
      <c r="E12" s="752" t="s">
        <v>1172</v>
      </c>
      <c r="F12" s="432" t="s">
        <v>1173</v>
      </c>
      <c r="G12" s="432" t="s">
        <v>185</v>
      </c>
      <c r="H12" s="751" t="s">
        <v>185</v>
      </c>
      <c r="I12" s="751" t="s">
        <v>185</v>
      </c>
      <c r="J12" s="753" t="s">
        <v>1174</v>
      </c>
      <c r="K12" s="754">
        <v>1757069648.72</v>
      </c>
    </row>
    <row r="13" spans="1:11" ht="78.75" customHeight="1">
      <c r="A13" s="751" t="s">
        <v>1175</v>
      </c>
      <c r="B13" s="751" t="s">
        <v>1176</v>
      </c>
      <c r="C13" s="432" t="s">
        <v>1177</v>
      </c>
      <c r="D13" s="432" t="s">
        <v>1178</v>
      </c>
      <c r="E13" s="432" t="s">
        <v>185</v>
      </c>
      <c r="F13" s="432" t="s">
        <v>185</v>
      </c>
      <c r="G13" s="432" t="s">
        <v>185</v>
      </c>
      <c r="H13" s="751" t="s">
        <v>185</v>
      </c>
      <c r="I13" s="751" t="s">
        <v>185</v>
      </c>
      <c r="J13" s="753" t="s">
        <v>1179</v>
      </c>
      <c r="K13" s="754">
        <v>374580261.33999997</v>
      </c>
    </row>
    <row r="14" spans="1:11" ht="30.75" customHeight="1">
      <c r="A14" s="755" t="s">
        <v>1180</v>
      </c>
      <c r="B14" s="755" t="s">
        <v>1112</v>
      </c>
      <c r="C14" s="430" t="s">
        <v>205</v>
      </c>
      <c r="D14" s="430"/>
      <c r="E14" s="756">
        <v>1.2149999999999999E-3</v>
      </c>
      <c r="F14" s="756">
        <v>3.3080000000000002E-3</v>
      </c>
      <c r="G14" s="430" t="s">
        <v>185</v>
      </c>
      <c r="H14" s="755" t="s">
        <v>185</v>
      </c>
      <c r="I14" s="755" t="s">
        <v>185</v>
      </c>
      <c r="J14" s="757" t="s">
        <v>1181</v>
      </c>
      <c r="K14" s="754">
        <v>356252434.36000001</v>
      </c>
    </row>
    <row r="15" spans="1:11" ht="30">
      <c r="A15" s="1430" t="s">
        <v>1182</v>
      </c>
      <c r="B15" s="751" t="s">
        <v>1183</v>
      </c>
      <c r="C15" s="1398" t="s">
        <v>205</v>
      </c>
      <c r="D15" s="432"/>
      <c r="E15" s="756">
        <v>7.6400000000000003E-4</v>
      </c>
      <c r="F15" s="756">
        <v>9.3599999999999998E-4</v>
      </c>
      <c r="G15" s="432" t="s">
        <v>185</v>
      </c>
      <c r="H15" s="751" t="s">
        <v>185</v>
      </c>
      <c r="I15" s="751" t="s">
        <v>185</v>
      </c>
      <c r="J15" s="753" t="s">
        <v>1184</v>
      </c>
      <c r="K15" s="1456">
        <v>306041289.19</v>
      </c>
    </row>
    <row r="16" spans="1:11" ht="30">
      <c r="A16" s="1431"/>
      <c r="B16" s="751" t="s">
        <v>1185</v>
      </c>
      <c r="C16" s="1439"/>
      <c r="D16" s="432"/>
      <c r="E16" s="756">
        <v>7.6400000000000003E-4</v>
      </c>
      <c r="F16" s="756">
        <v>9.3599999999999998E-4</v>
      </c>
      <c r="G16" s="432" t="s">
        <v>185</v>
      </c>
      <c r="H16" s="751" t="s">
        <v>185</v>
      </c>
      <c r="I16" s="751" t="s">
        <v>185</v>
      </c>
      <c r="J16" s="753" t="s">
        <v>1186</v>
      </c>
      <c r="K16" s="1456"/>
    </row>
    <row r="17" spans="1:12" ht="45">
      <c r="A17" s="1432"/>
      <c r="B17" s="751" t="s">
        <v>1187</v>
      </c>
      <c r="C17" s="1399"/>
      <c r="D17" s="432" t="s">
        <v>1188</v>
      </c>
      <c r="E17" s="752" t="s">
        <v>185</v>
      </c>
      <c r="F17" s="432" t="s">
        <v>185</v>
      </c>
      <c r="G17" s="432" t="s">
        <v>185</v>
      </c>
      <c r="H17" s="751" t="s">
        <v>1189</v>
      </c>
      <c r="I17" s="751" t="s">
        <v>1190</v>
      </c>
      <c r="J17" s="753" t="s">
        <v>1191</v>
      </c>
      <c r="K17" s="1456"/>
    </row>
    <row r="18" spans="1:12" ht="89.25" customHeight="1">
      <c r="A18" s="751" t="s">
        <v>1192</v>
      </c>
      <c r="B18" s="751" t="s">
        <v>1193</v>
      </c>
      <c r="C18" s="432" t="s">
        <v>109</v>
      </c>
      <c r="D18" s="432"/>
      <c r="E18" s="758">
        <v>0.14000000000000001</v>
      </c>
      <c r="F18" s="758">
        <v>0.16</v>
      </c>
      <c r="G18" s="432" t="s">
        <v>185</v>
      </c>
      <c r="H18" s="751" t="s">
        <v>185</v>
      </c>
      <c r="I18" s="751" t="s">
        <v>185</v>
      </c>
      <c r="J18" s="751" t="s">
        <v>1194</v>
      </c>
      <c r="K18" s="754">
        <v>238707676.75999999</v>
      </c>
      <c r="L18" s="191"/>
    </row>
    <row r="19" spans="1:12" ht="89.25" customHeight="1">
      <c r="A19" s="751" t="s">
        <v>1195</v>
      </c>
      <c r="B19" s="751" t="s">
        <v>1196</v>
      </c>
      <c r="C19" s="432" t="s">
        <v>205</v>
      </c>
      <c r="D19" s="758">
        <v>0.06</v>
      </c>
      <c r="E19" s="432" t="s">
        <v>185</v>
      </c>
      <c r="F19" s="432" t="s">
        <v>185</v>
      </c>
      <c r="G19" s="432" t="s">
        <v>185</v>
      </c>
      <c r="H19" s="751" t="s">
        <v>185</v>
      </c>
      <c r="I19" s="751" t="s">
        <v>185</v>
      </c>
      <c r="J19" s="751" t="s">
        <v>1197</v>
      </c>
      <c r="K19" s="754">
        <v>61032288.580000006</v>
      </c>
      <c r="L19" s="191"/>
    </row>
    <row r="20" spans="1:12" ht="74.25" customHeight="1">
      <c r="A20" s="751" t="s">
        <v>1198</v>
      </c>
      <c r="B20" s="432" t="s">
        <v>1199</v>
      </c>
      <c r="C20" s="432" t="s">
        <v>1200</v>
      </c>
      <c r="D20" s="432" t="s">
        <v>185</v>
      </c>
      <c r="E20" s="432" t="s">
        <v>185</v>
      </c>
      <c r="F20" s="432" t="s">
        <v>185</v>
      </c>
      <c r="G20" s="432" t="s">
        <v>185</v>
      </c>
      <c r="H20" s="759" t="s">
        <v>1201</v>
      </c>
      <c r="I20" s="759" t="s">
        <v>1202</v>
      </c>
      <c r="J20" s="751" t="s">
        <v>1203</v>
      </c>
      <c r="K20" s="754">
        <v>55542993.239999995</v>
      </c>
    </row>
    <row r="21" spans="1:12" ht="89.25" customHeight="1">
      <c r="A21" s="759" t="s">
        <v>1204</v>
      </c>
      <c r="B21" s="432" t="s">
        <v>1112</v>
      </c>
      <c r="C21" s="432" t="s">
        <v>205</v>
      </c>
      <c r="D21" s="432"/>
      <c r="E21" s="432"/>
      <c r="F21" s="432"/>
      <c r="G21" s="432"/>
      <c r="H21" s="760">
        <v>137.36000000000001</v>
      </c>
      <c r="I21" s="760">
        <v>373.93</v>
      </c>
      <c r="J21" s="751" t="s">
        <v>1205</v>
      </c>
      <c r="K21" s="754">
        <v>47774219.450000003</v>
      </c>
    </row>
    <row r="22" spans="1:12" s="177" customFormat="1" ht="25.5" customHeight="1">
      <c r="A22" s="209" t="s">
        <v>191</v>
      </c>
      <c r="B22" s="210"/>
      <c r="C22" s="210"/>
      <c r="D22" s="211"/>
      <c r="E22" s="211"/>
      <c r="F22" s="211"/>
      <c r="G22" s="210"/>
      <c r="H22" s="209"/>
      <c r="I22" s="209"/>
      <c r="J22" s="209"/>
      <c r="K22" s="761">
        <f>SUM(K23:K24)</f>
        <v>161110395.59</v>
      </c>
    </row>
    <row r="23" spans="1:12" s="177" customFormat="1" ht="45">
      <c r="A23" s="759" t="s">
        <v>1206</v>
      </c>
      <c r="B23" s="432" t="s">
        <v>1193</v>
      </c>
      <c r="C23" s="432" t="s">
        <v>109</v>
      </c>
      <c r="D23" s="752">
        <v>8.6956000000000006E-2</v>
      </c>
      <c r="E23" s="432" t="s">
        <v>185</v>
      </c>
      <c r="F23" s="432" t="s">
        <v>185</v>
      </c>
      <c r="G23" s="432" t="s">
        <v>185</v>
      </c>
      <c r="H23" s="759" t="s">
        <v>185</v>
      </c>
      <c r="I23" s="759" t="s">
        <v>185</v>
      </c>
      <c r="J23" s="759" t="s">
        <v>1207</v>
      </c>
      <c r="K23" s="754">
        <v>161095004.22</v>
      </c>
    </row>
    <row r="24" spans="1:12" s="177" customFormat="1" ht="45">
      <c r="A24" s="759" t="s">
        <v>1208</v>
      </c>
      <c r="B24" s="562" t="s">
        <v>1209</v>
      </c>
      <c r="C24" s="432" t="s">
        <v>1200</v>
      </c>
      <c r="D24" s="432" t="s">
        <v>185</v>
      </c>
      <c r="E24" s="432" t="s">
        <v>185</v>
      </c>
      <c r="F24" s="432" t="s">
        <v>185</v>
      </c>
      <c r="G24" s="432" t="s">
        <v>185</v>
      </c>
      <c r="H24" s="759" t="s">
        <v>185</v>
      </c>
      <c r="I24" s="759" t="s">
        <v>185</v>
      </c>
      <c r="J24" s="751" t="s">
        <v>1210</v>
      </c>
      <c r="K24" s="754">
        <v>15391.37</v>
      </c>
    </row>
    <row r="25" spans="1:12">
      <c r="A25" s="188" t="s">
        <v>179</v>
      </c>
      <c r="B25" s="189"/>
      <c r="C25" s="189"/>
      <c r="D25" s="196"/>
      <c r="E25" s="196"/>
      <c r="F25" s="196"/>
      <c r="G25" s="189"/>
      <c r="H25" s="209"/>
      <c r="I25" s="209"/>
      <c r="J25" s="188"/>
      <c r="K25" s="749">
        <f>SUM(K26:K33)</f>
        <v>41663549.350000001</v>
      </c>
    </row>
    <row r="26" spans="1:12" ht="45">
      <c r="A26" s="751" t="s">
        <v>1211</v>
      </c>
      <c r="B26" s="432" t="s">
        <v>1212</v>
      </c>
      <c r="C26" s="432" t="s">
        <v>1200</v>
      </c>
      <c r="D26" s="432" t="s">
        <v>1213</v>
      </c>
      <c r="E26" s="432" t="s">
        <v>1214</v>
      </c>
      <c r="F26" s="432" t="s">
        <v>1215</v>
      </c>
      <c r="G26" s="432" t="s">
        <v>185</v>
      </c>
      <c r="H26" s="762" t="s">
        <v>185</v>
      </c>
      <c r="I26" s="762" t="s">
        <v>185</v>
      </c>
      <c r="J26" s="751" t="s">
        <v>1216</v>
      </c>
      <c r="K26" s="754">
        <v>16367986.82</v>
      </c>
    </row>
    <row r="27" spans="1:12" ht="30">
      <c r="A27" s="751" t="s">
        <v>1217</v>
      </c>
      <c r="B27" s="432" t="s">
        <v>1218</v>
      </c>
      <c r="C27" s="432" t="s">
        <v>1219</v>
      </c>
      <c r="D27" s="432" t="s">
        <v>185</v>
      </c>
      <c r="E27" s="432" t="s">
        <v>185</v>
      </c>
      <c r="F27" s="432" t="s">
        <v>185</v>
      </c>
      <c r="G27" s="432" t="s">
        <v>185</v>
      </c>
      <c r="H27" s="759" t="s">
        <v>1220</v>
      </c>
      <c r="I27" s="759" t="s">
        <v>1221</v>
      </c>
      <c r="J27" s="751" t="s">
        <v>1222</v>
      </c>
      <c r="K27" s="754">
        <v>8608831.1400000006</v>
      </c>
    </row>
    <row r="28" spans="1:12" ht="30">
      <c r="A28" s="751" t="s">
        <v>1223</v>
      </c>
      <c r="B28" s="432" t="s">
        <v>1224</v>
      </c>
      <c r="C28" s="432" t="s">
        <v>109</v>
      </c>
      <c r="D28" s="432" t="s">
        <v>185</v>
      </c>
      <c r="E28" s="432" t="s">
        <v>185</v>
      </c>
      <c r="F28" s="432" t="s">
        <v>185</v>
      </c>
      <c r="G28" s="432" t="s">
        <v>185</v>
      </c>
      <c r="H28" s="759" t="s">
        <v>1225</v>
      </c>
      <c r="I28" s="759" t="s">
        <v>1226</v>
      </c>
      <c r="J28" s="751" t="s">
        <v>1227</v>
      </c>
      <c r="K28" s="754">
        <v>4872967.29</v>
      </c>
    </row>
    <row r="29" spans="1:12" ht="30">
      <c r="A29" s="763" t="s">
        <v>1228</v>
      </c>
      <c r="B29" s="427" t="s">
        <v>1229</v>
      </c>
      <c r="C29" s="427" t="s">
        <v>1200</v>
      </c>
      <c r="D29" s="427" t="s">
        <v>1230</v>
      </c>
      <c r="E29" s="427" t="s">
        <v>185</v>
      </c>
      <c r="F29" s="427" t="s">
        <v>185</v>
      </c>
      <c r="G29" s="427" t="s">
        <v>185</v>
      </c>
      <c r="H29" s="763" t="s">
        <v>185</v>
      </c>
      <c r="I29" s="763" t="s">
        <v>185</v>
      </c>
      <c r="J29" s="763" t="s">
        <v>1231</v>
      </c>
      <c r="K29" s="754">
        <v>4768646.99</v>
      </c>
    </row>
    <row r="30" spans="1:12" ht="45">
      <c r="A30" s="751" t="s">
        <v>1232</v>
      </c>
      <c r="B30" s="432" t="s">
        <v>1224</v>
      </c>
      <c r="C30" s="432" t="s">
        <v>1233</v>
      </c>
      <c r="D30" s="432" t="s">
        <v>185</v>
      </c>
      <c r="E30" s="432" t="s">
        <v>185</v>
      </c>
      <c r="F30" s="432" t="s">
        <v>185</v>
      </c>
      <c r="G30" s="432" t="s">
        <v>185</v>
      </c>
      <c r="H30" s="764" t="s">
        <v>1234</v>
      </c>
      <c r="I30" s="764" t="s">
        <v>1235</v>
      </c>
      <c r="J30" s="751" t="s">
        <v>1236</v>
      </c>
      <c r="K30" s="754">
        <v>4760887.8099999996</v>
      </c>
    </row>
    <row r="31" spans="1:12" ht="45" customHeight="1">
      <c r="A31" s="751" t="s">
        <v>1237</v>
      </c>
      <c r="B31" s="432" t="s">
        <v>1238</v>
      </c>
      <c r="C31" s="432" t="s">
        <v>1239</v>
      </c>
      <c r="D31" s="432" t="s">
        <v>185</v>
      </c>
      <c r="E31" s="432" t="s">
        <v>185</v>
      </c>
      <c r="F31" s="432" t="s">
        <v>185</v>
      </c>
      <c r="G31" s="432" t="s">
        <v>185</v>
      </c>
      <c r="H31" s="759" t="s">
        <v>1240</v>
      </c>
      <c r="I31" s="759" t="s">
        <v>1241</v>
      </c>
      <c r="J31" s="751" t="s">
        <v>1242</v>
      </c>
      <c r="K31" s="754">
        <v>2268312.65</v>
      </c>
    </row>
    <row r="32" spans="1:12" ht="53.25" customHeight="1">
      <c r="A32" s="751" t="s">
        <v>1243</v>
      </c>
      <c r="B32" s="432" t="s">
        <v>1224</v>
      </c>
      <c r="C32" s="432" t="s">
        <v>1200</v>
      </c>
      <c r="D32" s="432" t="s">
        <v>185</v>
      </c>
      <c r="E32" s="432" t="s">
        <v>185</v>
      </c>
      <c r="F32" s="432" t="s">
        <v>185</v>
      </c>
      <c r="G32" s="432" t="s">
        <v>185</v>
      </c>
      <c r="H32" s="751" t="s">
        <v>1244</v>
      </c>
      <c r="I32" s="751" t="s">
        <v>1245</v>
      </c>
      <c r="J32" s="751" t="s">
        <v>1246</v>
      </c>
      <c r="K32" s="754">
        <v>15916.65</v>
      </c>
    </row>
    <row r="33" spans="1:11" ht="45">
      <c r="A33" s="765" t="s">
        <v>1247</v>
      </c>
      <c r="B33" s="766" t="s">
        <v>1248</v>
      </c>
      <c r="C33" s="766" t="s">
        <v>1200</v>
      </c>
      <c r="D33" s="427" t="s">
        <v>185</v>
      </c>
      <c r="E33" s="427" t="s">
        <v>185</v>
      </c>
      <c r="F33" s="427" t="s">
        <v>185</v>
      </c>
      <c r="G33" s="427" t="s">
        <v>185</v>
      </c>
      <c r="H33" s="763" t="s">
        <v>185</v>
      </c>
      <c r="I33" s="763" t="s">
        <v>185</v>
      </c>
      <c r="J33" s="765" t="s">
        <v>1249</v>
      </c>
      <c r="K33" s="767">
        <v>0</v>
      </c>
    </row>
    <row r="34" spans="1:11" ht="15.95" customHeight="1">
      <c r="A34" s="188" t="s">
        <v>152</v>
      </c>
      <c r="B34" s="189"/>
      <c r="C34" s="189"/>
      <c r="D34" s="196"/>
      <c r="E34" s="196"/>
      <c r="F34" s="196"/>
      <c r="G34" s="189"/>
      <c r="H34" s="188"/>
      <c r="I34" s="188"/>
      <c r="J34" s="188"/>
      <c r="K34" s="749">
        <f>SUM(K35:K37)</f>
        <v>0</v>
      </c>
    </row>
    <row r="35" spans="1:11" ht="15.95" customHeight="1">
      <c r="A35" s="256"/>
      <c r="B35" s="193"/>
      <c r="C35" s="193"/>
      <c r="D35" s="194"/>
      <c r="E35" s="194"/>
      <c r="F35" s="194"/>
      <c r="G35" s="193"/>
      <c r="H35" s="256"/>
      <c r="I35" s="256"/>
      <c r="J35" s="256"/>
      <c r="K35" s="750"/>
    </row>
    <row r="36" spans="1:11" ht="15.95" customHeight="1">
      <c r="A36" s="256"/>
      <c r="B36" s="193"/>
      <c r="C36" s="193"/>
      <c r="D36" s="194"/>
      <c r="E36" s="194"/>
      <c r="F36" s="194"/>
      <c r="G36" s="193"/>
      <c r="H36" s="256"/>
      <c r="I36" s="256"/>
      <c r="J36" s="256"/>
      <c r="K36" s="750"/>
    </row>
    <row r="37" spans="1:11" ht="15.95" customHeight="1">
      <c r="A37" s="256"/>
      <c r="B37" s="193"/>
      <c r="C37" s="193"/>
      <c r="D37" s="194"/>
      <c r="E37" s="194"/>
      <c r="F37" s="194"/>
      <c r="G37" s="193"/>
      <c r="H37" s="256"/>
      <c r="I37" s="256"/>
      <c r="J37" s="256"/>
      <c r="K37" s="750"/>
    </row>
    <row r="38" spans="1:11" ht="15.95" customHeight="1">
      <c r="A38" s="188" t="s">
        <v>151</v>
      </c>
      <c r="B38" s="189"/>
      <c r="C38" s="189"/>
      <c r="D38" s="196"/>
      <c r="E38" s="196"/>
      <c r="F38" s="196"/>
      <c r="G38" s="189"/>
      <c r="H38" s="188"/>
      <c r="I38" s="188"/>
      <c r="J38" s="188"/>
      <c r="K38" s="749">
        <f>SUM(K39:K41)</f>
        <v>6444410.7700000005</v>
      </c>
    </row>
    <row r="39" spans="1:11" ht="45">
      <c r="A39" s="751" t="s">
        <v>1250</v>
      </c>
      <c r="B39" s="432" t="s">
        <v>1251</v>
      </c>
      <c r="C39" s="432" t="s">
        <v>1200</v>
      </c>
      <c r="D39" s="432" t="s">
        <v>1252</v>
      </c>
      <c r="E39" s="758">
        <v>0.1</v>
      </c>
      <c r="F39" s="758">
        <v>1</v>
      </c>
      <c r="G39" s="432" t="s">
        <v>185</v>
      </c>
      <c r="H39" s="751" t="s">
        <v>185</v>
      </c>
      <c r="I39" s="751" t="s">
        <v>185</v>
      </c>
      <c r="J39" s="768" t="s">
        <v>1253</v>
      </c>
      <c r="K39" s="754">
        <v>5913575.3100000005</v>
      </c>
    </row>
    <row r="40" spans="1:11" ht="60">
      <c r="A40" s="751" t="s">
        <v>1254</v>
      </c>
      <c r="B40" s="432" t="s">
        <v>1255</v>
      </c>
      <c r="C40" s="432" t="s">
        <v>1200</v>
      </c>
      <c r="D40" s="432" t="s">
        <v>185</v>
      </c>
      <c r="E40" s="430" t="s">
        <v>185</v>
      </c>
      <c r="F40" s="430" t="s">
        <v>185</v>
      </c>
      <c r="G40" s="432" t="s">
        <v>185</v>
      </c>
      <c r="H40" s="751">
        <v>150</v>
      </c>
      <c r="I40" s="751">
        <v>20000</v>
      </c>
      <c r="J40" s="769" t="s">
        <v>1256</v>
      </c>
      <c r="K40" s="754">
        <v>392730.49</v>
      </c>
    </row>
    <row r="41" spans="1:11" ht="75">
      <c r="A41" s="751" t="s">
        <v>1257</v>
      </c>
      <c r="B41" s="432" t="s">
        <v>1258</v>
      </c>
      <c r="C41" s="432" t="s">
        <v>1200</v>
      </c>
      <c r="D41" s="432" t="s">
        <v>1259</v>
      </c>
      <c r="E41" s="432" t="s">
        <v>185</v>
      </c>
      <c r="F41" s="432" t="s">
        <v>185</v>
      </c>
      <c r="G41" s="432" t="s">
        <v>185</v>
      </c>
      <c r="H41" s="751" t="s">
        <v>185</v>
      </c>
      <c r="I41" s="751" t="s">
        <v>185</v>
      </c>
      <c r="J41" s="751" t="s">
        <v>1260</v>
      </c>
      <c r="K41" s="754">
        <v>138104.97</v>
      </c>
    </row>
    <row r="42" spans="1:11" s="177" customFormat="1" ht="45">
      <c r="A42" s="751" t="s">
        <v>1261</v>
      </c>
      <c r="B42" s="432" t="s">
        <v>1251</v>
      </c>
      <c r="C42" s="432" t="s">
        <v>1200</v>
      </c>
      <c r="D42" s="432" t="s">
        <v>1262</v>
      </c>
      <c r="E42" s="432" t="s">
        <v>185</v>
      </c>
      <c r="F42" s="432" t="s">
        <v>185</v>
      </c>
      <c r="G42" s="432" t="s">
        <v>185</v>
      </c>
      <c r="H42" s="751" t="s">
        <v>185</v>
      </c>
      <c r="I42" s="751" t="s">
        <v>185</v>
      </c>
      <c r="J42" s="768" t="s">
        <v>1263</v>
      </c>
      <c r="K42" s="770">
        <v>0</v>
      </c>
    </row>
    <row r="43" spans="1:11" ht="15.95" customHeight="1">
      <c r="A43" s="209" t="s">
        <v>137</v>
      </c>
      <c r="B43" s="210"/>
      <c r="C43" s="210"/>
      <c r="D43" s="211"/>
      <c r="E43" s="211"/>
      <c r="F43" s="211"/>
      <c r="G43" s="210"/>
      <c r="H43" s="209"/>
      <c r="I43" s="209"/>
      <c r="J43" s="209"/>
      <c r="K43" s="761">
        <f>+SUM(K44:K46)</f>
        <v>5923507.4899999993</v>
      </c>
    </row>
    <row r="44" spans="1:11" ht="30">
      <c r="A44" s="759" t="s">
        <v>1264</v>
      </c>
      <c r="B44" s="432" t="s">
        <v>1265</v>
      </c>
      <c r="C44" s="562" t="s">
        <v>1200</v>
      </c>
      <c r="D44" s="432" t="s">
        <v>185</v>
      </c>
      <c r="E44" s="432" t="s">
        <v>185</v>
      </c>
      <c r="F44" s="432" t="s">
        <v>185</v>
      </c>
      <c r="G44" s="432" t="s">
        <v>185</v>
      </c>
      <c r="H44" s="751" t="s">
        <v>185</v>
      </c>
      <c r="I44" s="751" t="s">
        <v>185</v>
      </c>
      <c r="J44" s="769" t="s">
        <v>1266</v>
      </c>
      <c r="K44" s="754">
        <v>3369064.7699999996</v>
      </c>
    </row>
    <row r="45" spans="1:11" ht="30">
      <c r="A45" s="751" t="s">
        <v>1267</v>
      </c>
      <c r="B45" s="432" t="s">
        <v>1224</v>
      </c>
      <c r="C45" s="432" t="s">
        <v>109</v>
      </c>
      <c r="D45" s="432" t="s">
        <v>185</v>
      </c>
      <c r="E45" s="432" t="s">
        <v>185</v>
      </c>
      <c r="F45" s="432" t="s">
        <v>185</v>
      </c>
      <c r="G45" s="432" t="s">
        <v>185</v>
      </c>
      <c r="H45" s="751" t="s">
        <v>185</v>
      </c>
      <c r="I45" s="751" t="s">
        <v>185</v>
      </c>
      <c r="J45" s="751" t="s">
        <v>1268</v>
      </c>
      <c r="K45" s="754">
        <v>1336682.1399999999</v>
      </c>
    </row>
    <row r="46" spans="1:11" ht="30">
      <c r="A46" s="771" t="s">
        <v>1269</v>
      </c>
      <c r="B46" s="772" t="s">
        <v>1270</v>
      </c>
      <c r="C46" s="772" t="s">
        <v>1271</v>
      </c>
      <c r="D46" s="430" t="s">
        <v>185</v>
      </c>
      <c r="E46" s="430" t="s">
        <v>185</v>
      </c>
      <c r="F46" s="430" t="s">
        <v>185</v>
      </c>
      <c r="G46" s="430" t="s">
        <v>185</v>
      </c>
      <c r="H46" s="755" t="s">
        <v>185</v>
      </c>
      <c r="I46" s="755" t="s">
        <v>185</v>
      </c>
      <c r="J46" s="771" t="s">
        <v>1272</v>
      </c>
      <c r="K46" s="754">
        <v>1217760.5800000003</v>
      </c>
    </row>
    <row r="47" spans="1:11">
      <c r="A47" s="188" t="s">
        <v>136</v>
      </c>
      <c r="B47" s="189"/>
      <c r="C47" s="189"/>
      <c r="D47" s="196"/>
      <c r="E47" s="196"/>
      <c r="F47" s="196"/>
      <c r="G47" s="189"/>
      <c r="H47" s="188"/>
      <c r="I47" s="188"/>
      <c r="J47" s="188"/>
      <c r="K47" s="773">
        <f>SUM(K48:K55)</f>
        <v>169562053.14000002</v>
      </c>
    </row>
    <row r="48" spans="1:11">
      <c r="A48" s="771" t="s">
        <v>1273</v>
      </c>
      <c r="B48" s="430"/>
      <c r="C48" s="772"/>
      <c r="D48" s="430"/>
      <c r="E48" s="430"/>
      <c r="F48" s="430"/>
      <c r="G48" s="430"/>
      <c r="H48" s="755"/>
      <c r="I48" s="755"/>
      <c r="J48" s="771"/>
      <c r="K48" s="754">
        <v>110719318.86</v>
      </c>
    </row>
    <row r="49" spans="1:12">
      <c r="A49" s="771" t="s">
        <v>1274</v>
      </c>
      <c r="B49" s="430" t="s">
        <v>1265</v>
      </c>
      <c r="C49" s="772" t="s">
        <v>1200</v>
      </c>
      <c r="D49" s="430" t="s">
        <v>185</v>
      </c>
      <c r="E49" s="430" t="s">
        <v>185</v>
      </c>
      <c r="F49" s="430" t="s">
        <v>185</v>
      </c>
      <c r="G49" s="430" t="s">
        <v>185</v>
      </c>
      <c r="H49" s="755" t="s">
        <v>185</v>
      </c>
      <c r="I49" s="755" t="s">
        <v>185</v>
      </c>
      <c r="J49" s="771" t="s">
        <v>1275</v>
      </c>
      <c r="K49" s="754">
        <v>46899987.590000004</v>
      </c>
    </row>
    <row r="50" spans="1:12" ht="30">
      <c r="A50" s="759" t="s">
        <v>1276</v>
      </c>
      <c r="B50" s="432" t="s">
        <v>1265</v>
      </c>
      <c r="C50" s="562" t="s">
        <v>1200</v>
      </c>
      <c r="D50" s="432" t="s">
        <v>185</v>
      </c>
      <c r="E50" s="432" t="s">
        <v>185</v>
      </c>
      <c r="F50" s="432" t="s">
        <v>185</v>
      </c>
      <c r="G50" s="432" t="s">
        <v>185</v>
      </c>
      <c r="H50" s="751" t="s">
        <v>185</v>
      </c>
      <c r="I50" s="751" t="s">
        <v>185</v>
      </c>
      <c r="J50" s="759" t="s">
        <v>1277</v>
      </c>
      <c r="K50" s="754">
        <v>2966381.02</v>
      </c>
    </row>
    <row r="51" spans="1:12">
      <c r="A51" s="771" t="s">
        <v>1278</v>
      </c>
      <c r="B51" s="562" t="s">
        <v>1270</v>
      </c>
      <c r="C51" s="562" t="s">
        <v>1200</v>
      </c>
      <c r="D51" s="432" t="s">
        <v>185</v>
      </c>
      <c r="E51" s="432" t="s">
        <v>185</v>
      </c>
      <c r="F51" s="432" t="s">
        <v>185</v>
      </c>
      <c r="G51" s="432" t="s">
        <v>185</v>
      </c>
      <c r="H51" s="751" t="s">
        <v>185</v>
      </c>
      <c r="I51" s="751" t="s">
        <v>185</v>
      </c>
      <c r="J51" s="759" t="s">
        <v>1279</v>
      </c>
      <c r="K51" s="754">
        <v>2461764.3000000007</v>
      </c>
    </row>
    <row r="52" spans="1:12" ht="30">
      <c r="A52" s="759" t="s">
        <v>1280</v>
      </c>
      <c r="B52" s="432" t="s">
        <v>1265</v>
      </c>
      <c r="C52" s="562" t="s">
        <v>1200</v>
      </c>
      <c r="D52" s="432"/>
      <c r="E52" s="432"/>
      <c r="F52" s="432"/>
      <c r="G52" s="432"/>
      <c r="H52" s="751"/>
      <c r="I52" s="751"/>
      <c r="J52" s="759" t="s">
        <v>1281</v>
      </c>
      <c r="K52" s="754">
        <v>2422000</v>
      </c>
    </row>
    <row r="53" spans="1:12">
      <c r="A53" s="771" t="s">
        <v>1282</v>
      </c>
      <c r="B53" s="772" t="s">
        <v>1265</v>
      </c>
      <c r="C53" s="772" t="s">
        <v>1200</v>
      </c>
      <c r="D53" s="774" t="s">
        <v>185</v>
      </c>
      <c r="E53" s="774" t="s">
        <v>185</v>
      </c>
      <c r="F53" s="774" t="s">
        <v>185</v>
      </c>
      <c r="G53" s="774" t="s">
        <v>185</v>
      </c>
      <c r="H53" s="775" t="s">
        <v>185</v>
      </c>
      <c r="I53" s="775" t="s">
        <v>185</v>
      </c>
      <c r="J53" s="771" t="s">
        <v>1275</v>
      </c>
      <c r="K53" s="754">
        <v>1815166.06</v>
      </c>
    </row>
    <row r="54" spans="1:12">
      <c r="A54" s="771" t="s">
        <v>1283</v>
      </c>
      <c r="B54" s="432" t="s">
        <v>1265</v>
      </c>
      <c r="C54" s="562" t="s">
        <v>1200</v>
      </c>
      <c r="D54" s="432" t="s">
        <v>185</v>
      </c>
      <c r="E54" s="432" t="s">
        <v>185</v>
      </c>
      <c r="F54" s="432" t="s">
        <v>185</v>
      </c>
      <c r="G54" s="432" t="s">
        <v>185</v>
      </c>
      <c r="H54" s="751" t="s">
        <v>185</v>
      </c>
      <c r="I54" s="751" t="s">
        <v>185</v>
      </c>
      <c r="J54" s="759" t="s">
        <v>1284</v>
      </c>
      <c r="K54" s="754">
        <v>1439774.29</v>
      </c>
    </row>
    <row r="55" spans="1:12">
      <c r="A55" s="759" t="s">
        <v>1285</v>
      </c>
      <c r="B55" s="432" t="s">
        <v>1265</v>
      </c>
      <c r="C55" s="562" t="s">
        <v>1200</v>
      </c>
      <c r="D55" s="432"/>
      <c r="E55" s="432"/>
      <c r="F55" s="432"/>
      <c r="G55" s="432"/>
      <c r="H55" s="751"/>
      <c r="I55" s="751"/>
      <c r="J55" s="759" t="s">
        <v>1286</v>
      </c>
      <c r="K55" s="754">
        <v>837661.02</v>
      </c>
    </row>
    <row r="56" spans="1:12">
      <c r="A56" s="241" t="s">
        <v>108</v>
      </c>
      <c r="B56" s="242"/>
      <c r="C56" s="242"/>
      <c r="D56" s="243"/>
      <c r="E56" s="243"/>
      <c r="F56" s="243"/>
      <c r="G56" s="242"/>
      <c r="H56" s="776"/>
      <c r="I56" s="776"/>
      <c r="J56" s="776"/>
      <c r="K56" s="777">
        <f>+K47+K43+K38+K34+K25+K22+K11</f>
        <v>3581704727.9799995</v>
      </c>
    </row>
    <row r="57" spans="1:12">
      <c r="A57" s="565" t="s">
        <v>1287</v>
      </c>
      <c r="B57" s="246"/>
      <c r="C57" s="246"/>
      <c r="D57" s="246"/>
      <c r="E57" s="246"/>
      <c r="F57" s="246"/>
      <c r="G57" s="246"/>
      <c r="H57" s="246"/>
      <c r="I57" s="246"/>
      <c r="J57" s="246"/>
      <c r="K57" s="778" t="s">
        <v>1230</v>
      </c>
      <c r="L57" s="779"/>
    </row>
    <row r="58" spans="1:12">
      <c r="K58" s="781"/>
    </row>
  </sheetData>
  <mergeCells count="13">
    <mergeCell ref="H6:I6"/>
    <mergeCell ref="A7:A8"/>
    <mergeCell ref="B7:B8"/>
    <mergeCell ref="C7:C8"/>
    <mergeCell ref="D7:D8"/>
    <mergeCell ref="E7:F7"/>
    <mergeCell ref="G7:G8"/>
    <mergeCell ref="H7:I7"/>
    <mergeCell ref="J7:J8"/>
    <mergeCell ref="K7:K8"/>
    <mergeCell ref="A15:A17"/>
    <mergeCell ref="C15:C17"/>
    <mergeCell ref="K15:K17"/>
  </mergeCells>
  <pageMargins left="0.70866141732283472" right="0.70866141732283472" top="0.74803149606299213" bottom="0.74803149606299213" header="0.31496062992125984" footer="0.31496062992125984"/>
  <pageSetup paperSize="9" scale="55" fitToWidth="0"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K57"/>
  <sheetViews>
    <sheetView showGridLines="0" workbookViewId="0">
      <pane xSplit="1" topLeftCell="B1" activePane="topRight" state="frozen"/>
      <selection pane="topRight"/>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177" customFormat="1" ht="21" customHeight="1">
      <c r="A1" s="175" t="s">
        <v>235</v>
      </c>
      <c r="B1" s="176"/>
    </row>
    <row r="2" spans="1:11" s="177" customFormat="1" ht="19.5" customHeight="1">
      <c r="A2" s="178" t="s">
        <v>1288</v>
      </c>
      <c r="B2" s="176"/>
      <c r="C2" s="179"/>
      <c r="D2" s="179"/>
      <c r="E2" s="179"/>
      <c r="F2" s="179"/>
      <c r="G2" s="179"/>
      <c r="H2" s="179"/>
      <c r="I2" s="179"/>
      <c r="J2" s="179"/>
      <c r="K2" s="180" t="s">
        <v>234</v>
      </c>
    </row>
    <row r="3" spans="1:11" s="177" customFormat="1" ht="22.5" customHeight="1">
      <c r="A3" s="181" t="s">
        <v>238</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ht="18.75" customHeight="1">
      <c r="A5" s="248"/>
      <c r="D5" s="419"/>
      <c r="E5" s="419"/>
      <c r="F5" s="419"/>
      <c r="G5" s="248"/>
      <c r="H5" s="419"/>
      <c r="I5" s="419"/>
      <c r="K5" s="419"/>
    </row>
    <row r="6" spans="1:11" s="177" customFormat="1">
      <c r="A6" s="184" t="s">
        <v>228</v>
      </c>
      <c r="B6" s="184" t="s">
        <v>227</v>
      </c>
      <c r="C6" s="184" t="s">
        <v>226</v>
      </c>
      <c r="D6" s="184"/>
      <c r="E6" s="183" t="s">
        <v>225</v>
      </c>
      <c r="F6" s="183"/>
      <c r="G6" s="184" t="s">
        <v>224</v>
      </c>
      <c r="H6" s="1381" t="s">
        <v>223</v>
      </c>
      <c r="I6" s="1381"/>
      <c r="J6" s="184" t="s">
        <v>222</v>
      </c>
      <c r="K6" s="184" t="s">
        <v>221</v>
      </c>
    </row>
    <row r="7" spans="1:11" s="186" customFormat="1">
      <c r="A7" s="1382" t="s">
        <v>220</v>
      </c>
      <c r="B7" s="1379" t="s">
        <v>219</v>
      </c>
      <c r="C7" s="1379" t="s">
        <v>218</v>
      </c>
      <c r="D7" s="1379" t="s">
        <v>217</v>
      </c>
      <c r="E7" s="1379" t="s">
        <v>216</v>
      </c>
      <c r="F7" s="1379"/>
      <c r="G7" s="1379" t="s">
        <v>215</v>
      </c>
      <c r="H7" s="1379" t="s">
        <v>214</v>
      </c>
      <c r="I7" s="1379"/>
      <c r="J7" s="1379" t="s">
        <v>240</v>
      </c>
      <c r="K7" s="1380" t="s">
        <v>212</v>
      </c>
    </row>
    <row r="8" spans="1:11" s="186" customFormat="1">
      <c r="A8" s="1382"/>
      <c r="B8" s="1379"/>
      <c r="C8" s="1379"/>
      <c r="D8" s="1379"/>
      <c r="E8" s="187" t="s">
        <v>211</v>
      </c>
      <c r="F8" s="187" t="s">
        <v>210</v>
      </c>
      <c r="G8" s="1379"/>
      <c r="H8" s="187" t="s">
        <v>211</v>
      </c>
      <c r="I8" s="187" t="s">
        <v>210</v>
      </c>
      <c r="J8" s="1379"/>
      <c r="K8" s="1380"/>
    </row>
    <row r="9" spans="1:11" ht="15.95" customHeight="1">
      <c r="A9" s="188" t="s">
        <v>208</v>
      </c>
      <c r="B9" s="189"/>
      <c r="C9" s="189"/>
      <c r="D9" s="189"/>
      <c r="E9" s="189"/>
      <c r="F9" s="189"/>
      <c r="G9" s="189"/>
      <c r="H9" s="189"/>
      <c r="I9" s="189"/>
      <c r="J9" s="189"/>
      <c r="K9" s="190">
        <f>SUM(K10)</f>
        <v>0</v>
      </c>
    </row>
    <row r="10" spans="1:11" ht="19.5" customHeight="1">
      <c r="A10" s="229"/>
      <c r="B10" s="193"/>
      <c r="C10" s="193"/>
      <c r="D10" s="194"/>
      <c r="E10" s="194"/>
      <c r="F10" s="194"/>
      <c r="G10" s="193"/>
      <c r="H10" s="193"/>
      <c r="I10" s="193"/>
      <c r="J10" s="193"/>
      <c r="K10" s="195"/>
    </row>
    <row r="11" spans="1:11" ht="15.95" customHeight="1">
      <c r="A11" s="782" t="s">
        <v>207</v>
      </c>
      <c r="B11" s="189"/>
      <c r="C11" s="189"/>
      <c r="D11" s="196"/>
      <c r="E11" s="196"/>
      <c r="F11" s="196"/>
      <c r="G11" s="189"/>
      <c r="H11" s="189"/>
      <c r="I11" s="189"/>
      <c r="J11" s="189"/>
      <c r="K11" s="190">
        <f>SUM(K12:K14)</f>
        <v>4828842.58</v>
      </c>
    </row>
    <row r="12" spans="1:11" ht="24">
      <c r="A12" s="783" t="s">
        <v>1289</v>
      </c>
      <c r="B12" s="784" t="s">
        <v>1290</v>
      </c>
      <c r="C12" s="784" t="s">
        <v>345</v>
      </c>
      <c r="D12" s="785">
        <v>1.2E-2</v>
      </c>
      <c r="E12" s="786">
        <v>8.0000000000000002E-3</v>
      </c>
      <c r="F12" s="787">
        <v>0.02</v>
      </c>
      <c r="G12" s="788"/>
      <c r="H12" s="788"/>
      <c r="I12" s="789"/>
      <c r="J12" s="790" t="s">
        <v>1291</v>
      </c>
      <c r="K12" s="791">
        <v>3535556</v>
      </c>
    </row>
    <row r="13" spans="1:11" ht="24">
      <c r="A13" s="783" t="s">
        <v>1292</v>
      </c>
      <c r="B13" s="784" t="s">
        <v>1293</v>
      </c>
      <c r="C13" s="784" t="s">
        <v>345</v>
      </c>
      <c r="D13" s="792"/>
      <c r="E13" s="793">
        <v>5.1180000000000001E-5</v>
      </c>
      <c r="F13" s="793">
        <v>1.1118E-4</v>
      </c>
      <c r="G13" s="788"/>
      <c r="H13" s="788"/>
      <c r="I13" s="789"/>
      <c r="J13" s="790" t="s">
        <v>1291</v>
      </c>
      <c r="K13" s="791">
        <v>1164286.58</v>
      </c>
    </row>
    <row r="14" spans="1:11" ht="24">
      <c r="A14" s="783" t="s">
        <v>1294</v>
      </c>
      <c r="B14" s="784" t="s">
        <v>1031</v>
      </c>
      <c r="C14" s="784" t="s">
        <v>352</v>
      </c>
      <c r="D14" s="786"/>
      <c r="E14" s="787"/>
      <c r="F14" s="793"/>
      <c r="G14" s="794">
        <v>129000</v>
      </c>
      <c r="H14" s="788"/>
      <c r="I14" s="789"/>
      <c r="J14" s="790" t="s">
        <v>1291</v>
      </c>
      <c r="K14" s="791">
        <v>129000</v>
      </c>
    </row>
    <row r="15" spans="1:11" s="177" customFormat="1" ht="15.95" customHeight="1">
      <c r="A15" s="795" t="s">
        <v>191</v>
      </c>
      <c r="B15" s="210"/>
      <c r="C15" s="210"/>
      <c r="D15" s="211"/>
      <c r="E15" s="211"/>
      <c r="F15" s="211"/>
      <c r="G15" s="210"/>
      <c r="H15" s="210"/>
      <c r="I15" s="210"/>
      <c r="J15" s="210"/>
      <c r="K15" s="213">
        <f>SUM(K16:K18)</f>
        <v>2172535.2200000002</v>
      </c>
    </row>
    <row r="16" spans="1:11" s="177" customFormat="1" ht="24">
      <c r="A16" s="783" t="s">
        <v>1295</v>
      </c>
      <c r="B16" s="784" t="s">
        <v>1022</v>
      </c>
      <c r="C16" s="784" t="s">
        <v>367</v>
      </c>
      <c r="D16" s="796">
        <v>8.6956000000000006E-2</v>
      </c>
      <c r="E16" s="787"/>
      <c r="F16" s="787"/>
      <c r="G16" s="788"/>
      <c r="H16" s="788"/>
      <c r="I16" s="789"/>
      <c r="J16" s="790" t="s">
        <v>1291</v>
      </c>
      <c r="K16" s="791">
        <v>2147537.7200000002</v>
      </c>
    </row>
    <row r="17" spans="1:11" s="177" customFormat="1">
      <c r="A17" s="783" t="s">
        <v>1296</v>
      </c>
      <c r="B17" s="784" t="s">
        <v>1022</v>
      </c>
      <c r="C17" s="784" t="s">
        <v>345</v>
      </c>
      <c r="D17" s="786"/>
      <c r="E17" s="787"/>
      <c r="F17" s="787"/>
      <c r="G17" s="788"/>
      <c r="H17" s="788"/>
      <c r="I17" s="789"/>
      <c r="J17" s="790"/>
      <c r="K17" s="791">
        <v>12997.5</v>
      </c>
    </row>
    <row r="18" spans="1:11" ht="24">
      <c r="A18" s="783" t="s">
        <v>1297</v>
      </c>
      <c r="B18" s="784" t="s">
        <v>1031</v>
      </c>
      <c r="C18" s="784" t="s">
        <v>1298</v>
      </c>
      <c r="D18" s="786"/>
      <c r="E18" s="787"/>
      <c r="F18" s="787"/>
      <c r="G18" s="794">
        <v>8000</v>
      </c>
      <c r="H18" s="788"/>
      <c r="I18" s="789"/>
      <c r="J18" s="790" t="s">
        <v>1291</v>
      </c>
      <c r="K18" s="791">
        <v>12000</v>
      </c>
    </row>
    <row r="19" spans="1:11" ht="15.95" customHeight="1">
      <c r="A19" s="782" t="s">
        <v>179</v>
      </c>
      <c r="B19" s="189"/>
      <c r="C19" s="189"/>
      <c r="D19" s="196"/>
      <c r="E19" s="196"/>
      <c r="F19" s="196"/>
      <c r="G19" s="189"/>
      <c r="H19" s="189"/>
      <c r="I19" s="189"/>
      <c r="J19" s="189"/>
      <c r="K19" s="190">
        <f>SUM(K20:K29)</f>
        <v>2380395.1200000006</v>
      </c>
    </row>
    <row r="20" spans="1:11" ht="24">
      <c r="A20" s="797" t="s">
        <v>1299</v>
      </c>
      <c r="B20" s="422" t="s">
        <v>1300</v>
      </c>
      <c r="C20" s="784" t="s">
        <v>367</v>
      </c>
      <c r="D20" s="786">
        <v>3.5000000000000003E-2</v>
      </c>
      <c r="E20" s="787"/>
      <c r="F20" s="787"/>
      <c r="G20" s="788"/>
      <c r="H20" s="788">
        <v>820</v>
      </c>
      <c r="I20" s="789"/>
      <c r="J20" s="790" t="s">
        <v>1291</v>
      </c>
      <c r="K20" s="791">
        <v>841919.3</v>
      </c>
    </row>
    <row r="21" spans="1:11" ht="24">
      <c r="A21" s="783" t="s">
        <v>1301</v>
      </c>
      <c r="B21" s="784" t="s">
        <v>1302</v>
      </c>
      <c r="C21" s="784" t="s">
        <v>1298</v>
      </c>
      <c r="D21" s="786"/>
      <c r="E21" s="787"/>
      <c r="F21" s="787"/>
      <c r="G21" s="788"/>
      <c r="H21" s="794">
        <v>100</v>
      </c>
      <c r="I21" s="794">
        <v>350</v>
      </c>
      <c r="J21" s="790" t="s">
        <v>1291</v>
      </c>
      <c r="K21" s="791">
        <v>497616.13</v>
      </c>
    </row>
    <row r="22" spans="1:11" ht="24">
      <c r="A22" s="783" t="s">
        <v>1303</v>
      </c>
      <c r="B22" s="784" t="s">
        <v>1031</v>
      </c>
      <c r="C22" s="784" t="s">
        <v>1298</v>
      </c>
      <c r="D22" s="786"/>
      <c r="E22" s="787"/>
      <c r="F22" s="787"/>
      <c r="G22" s="788"/>
      <c r="H22" s="794">
        <v>470</v>
      </c>
      <c r="I22" s="794">
        <v>1000</v>
      </c>
      <c r="J22" s="790" t="s">
        <v>1291</v>
      </c>
      <c r="K22" s="791">
        <v>353750</v>
      </c>
    </row>
    <row r="23" spans="1:11" ht="24">
      <c r="A23" s="783" t="s">
        <v>1304</v>
      </c>
      <c r="B23" s="784" t="s">
        <v>1302</v>
      </c>
      <c r="C23" s="784" t="s">
        <v>1298</v>
      </c>
      <c r="D23" s="786"/>
      <c r="E23" s="787"/>
      <c r="F23" s="787"/>
      <c r="G23" s="788"/>
      <c r="H23" s="794">
        <v>100</v>
      </c>
      <c r="I23" s="794">
        <v>350</v>
      </c>
      <c r="J23" s="790" t="s">
        <v>1291</v>
      </c>
      <c r="K23" s="791">
        <v>198312.97</v>
      </c>
    </row>
    <row r="24" spans="1:11" ht="24">
      <c r="A24" s="783" t="s">
        <v>1305</v>
      </c>
      <c r="B24" s="784" t="s">
        <v>1302</v>
      </c>
      <c r="C24" s="784" t="s">
        <v>1298</v>
      </c>
      <c r="D24" s="786"/>
      <c r="E24" s="787"/>
      <c r="F24" s="787"/>
      <c r="G24" s="788"/>
      <c r="H24" s="788">
        <v>240</v>
      </c>
      <c r="I24" s="788">
        <v>2800</v>
      </c>
      <c r="J24" s="790" t="s">
        <v>1291</v>
      </c>
      <c r="K24" s="791">
        <v>154870</v>
      </c>
    </row>
    <row r="25" spans="1:11" ht="48">
      <c r="A25" s="797" t="s">
        <v>1306</v>
      </c>
      <c r="B25" s="798" t="s">
        <v>1307</v>
      </c>
      <c r="C25" s="798" t="s">
        <v>1298</v>
      </c>
      <c r="D25" s="785"/>
      <c r="E25" s="799"/>
      <c r="F25" s="799"/>
      <c r="G25" s="794"/>
      <c r="H25" s="794">
        <v>182</v>
      </c>
      <c r="I25" s="800">
        <v>1064</v>
      </c>
      <c r="J25" s="790" t="s">
        <v>1308</v>
      </c>
      <c r="K25" s="801">
        <v>148295</v>
      </c>
    </row>
    <row r="26" spans="1:11" ht="24">
      <c r="A26" s="797" t="s">
        <v>1309</v>
      </c>
      <c r="B26" s="798" t="s">
        <v>1031</v>
      </c>
      <c r="C26" s="798" t="s">
        <v>345</v>
      </c>
      <c r="D26" s="786"/>
      <c r="E26" s="787"/>
      <c r="F26" s="787"/>
      <c r="G26" s="794">
        <v>600</v>
      </c>
      <c r="H26" s="788"/>
      <c r="I26" s="789"/>
      <c r="J26" s="790" t="s">
        <v>1291</v>
      </c>
      <c r="K26" s="791">
        <v>93033.74</v>
      </c>
    </row>
    <row r="27" spans="1:11" ht="48">
      <c r="A27" s="797" t="s">
        <v>1310</v>
      </c>
      <c r="B27" s="798" t="s">
        <v>1031</v>
      </c>
      <c r="C27" s="798" t="s">
        <v>352</v>
      </c>
      <c r="D27" s="785"/>
      <c r="E27" s="799"/>
      <c r="F27" s="799"/>
      <c r="G27" s="794"/>
      <c r="H27" s="794">
        <v>130</v>
      </c>
      <c r="I27" s="794">
        <v>28000</v>
      </c>
      <c r="J27" s="790" t="s">
        <v>1308</v>
      </c>
      <c r="K27" s="801">
        <v>86997.98</v>
      </c>
    </row>
    <row r="28" spans="1:11" ht="24">
      <c r="A28" s="797" t="s">
        <v>1311</v>
      </c>
      <c r="B28" s="798" t="s">
        <v>1312</v>
      </c>
      <c r="C28" s="798" t="s">
        <v>345</v>
      </c>
      <c r="D28" s="787"/>
      <c r="E28" s="787"/>
      <c r="F28" s="787"/>
      <c r="G28" s="788"/>
      <c r="H28" s="788"/>
      <c r="I28" s="789"/>
      <c r="J28" s="790" t="s">
        <v>1291</v>
      </c>
      <c r="K28" s="791">
        <v>5600</v>
      </c>
    </row>
    <row r="29" spans="1:11" ht="24">
      <c r="A29" s="783" t="s">
        <v>1313</v>
      </c>
      <c r="B29" s="784" t="s">
        <v>1302</v>
      </c>
      <c r="C29" s="784" t="s">
        <v>1298</v>
      </c>
      <c r="D29" s="786"/>
      <c r="E29" s="787"/>
      <c r="F29" s="787"/>
      <c r="G29" s="788">
        <v>900</v>
      </c>
      <c r="H29" s="788"/>
      <c r="I29" s="788"/>
      <c r="J29" s="790" t="s">
        <v>1291</v>
      </c>
      <c r="K29" s="791">
        <v>0</v>
      </c>
    </row>
    <row r="30" spans="1:11">
      <c r="A30" s="782" t="s">
        <v>152</v>
      </c>
      <c r="B30" s="189"/>
      <c r="C30" s="189"/>
      <c r="D30" s="196"/>
      <c r="E30" s="196"/>
      <c r="F30" s="196"/>
      <c r="G30" s="189"/>
      <c r="H30" s="189"/>
      <c r="I30" s="189"/>
      <c r="J30" s="189"/>
      <c r="K30" s="190">
        <f>SUM(K31:K36)</f>
        <v>2312847.0699999998</v>
      </c>
    </row>
    <row r="31" spans="1:11" ht="24">
      <c r="A31" s="783" t="s">
        <v>1314</v>
      </c>
      <c r="B31" s="784" t="s">
        <v>1302</v>
      </c>
      <c r="C31" s="784" t="s">
        <v>1298</v>
      </c>
      <c r="D31" s="786"/>
      <c r="E31" s="787"/>
      <c r="F31" s="787"/>
      <c r="G31" s="788"/>
      <c r="H31" s="794">
        <v>800</v>
      </c>
      <c r="I31" s="794">
        <v>4600</v>
      </c>
      <c r="J31" s="790" t="s">
        <v>1291</v>
      </c>
      <c r="K31" s="791">
        <v>1286625.42</v>
      </c>
    </row>
    <row r="32" spans="1:11" ht="24">
      <c r="A32" s="783" t="s">
        <v>1315</v>
      </c>
      <c r="B32" s="784" t="s">
        <v>1302</v>
      </c>
      <c r="C32" s="784" t="s">
        <v>1298</v>
      </c>
      <c r="D32" s="786"/>
      <c r="E32" s="787"/>
      <c r="F32" s="787"/>
      <c r="G32" s="788"/>
      <c r="H32" s="794">
        <v>5300</v>
      </c>
      <c r="I32" s="794">
        <v>6700</v>
      </c>
      <c r="J32" s="790" t="s">
        <v>1291</v>
      </c>
      <c r="K32" s="791">
        <v>745862.28</v>
      </c>
    </row>
    <row r="33" spans="1:11" ht="84">
      <c r="A33" s="797" t="s">
        <v>1316</v>
      </c>
      <c r="B33" s="422" t="s">
        <v>1317</v>
      </c>
      <c r="C33" s="784" t="s">
        <v>1298</v>
      </c>
      <c r="D33" s="786"/>
      <c r="E33" s="787"/>
      <c r="F33" s="787"/>
      <c r="G33" s="788"/>
      <c r="H33" s="788" t="s">
        <v>1318</v>
      </c>
      <c r="I33" s="789" t="s">
        <v>1319</v>
      </c>
      <c r="J33" s="790" t="s">
        <v>1320</v>
      </c>
      <c r="K33" s="791">
        <v>190926.8</v>
      </c>
    </row>
    <row r="34" spans="1:11" ht="24">
      <c r="A34" s="783" t="s">
        <v>1321</v>
      </c>
      <c r="B34" s="784" t="s">
        <v>1302</v>
      </c>
      <c r="C34" s="784" t="s">
        <v>1298</v>
      </c>
      <c r="D34" s="786"/>
      <c r="E34" s="787"/>
      <c r="F34" s="787"/>
      <c r="G34" s="788"/>
      <c r="H34" s="794">
        <v>800</v>
      </c>
      <c r="I34" s="794">
        <v>1500</v>
      </c>
      <c r="J34" s="790" t="s">
        <v>1291</v>
      </c>
      <c r="K34" s="791">
        <v>77432.570000000007</v>
      </c>
    </row>
    <row r="35" spans="1:11" ht="24">
      <c r="A35" s="783" t="s">
        <v>1322</v>
      </c>
      <c r="B35" s="784" t="s">
        <v>1031</v>
      </c>
      <c r="C35" s="784" t="s">
        <v>345</v>
      </c>
      <c r="D35" s="786"/>
      <c r="E35" s="787"/>
      <c r="F35" s="787"/>
      <c r="G35" s="788"/>
      <c r="H35" s="788"/>
      <c r="I35" s="789"/>
      <c r="J35" s="790" t="s">
        <v>1291</v>
      </c>
      <c r="K35" s="791">
        <v>12000</v>
      </c>
    </row>
    <row r="36" spans="1:11" ht="24">
      <c r="A36" s="783" t="s">
        <v>1323</v>
      </c>
      <c r="B36" s="784" t="s">
        <v>1031</v>
      </c>
      <c r="C36" s="784" t="s">
        <v>1298</v>
      </c>
      <c r="D36" s="786"/>
      <c r="E36" s="787"/>
      <c r="F36" s="787"/>
      <c r="G36" s="788"/>
      <c r="H36" s="788">
        <v>1500</v>
      </c>
      <c r="I36" s="788">
        <v>17000</v>
      </c>
      <c r="J36" s="790" t="s">
        <v>1291</v>
      </c>
      <c r="K36" s="791">
        <v>0</v>
      </c>
    </row>
    <row r="37" spans="1:11">
      <c r="A37" s="782" t="s">
        <v>151</v>
      </c>
      <c r="B37" s="189"/>
      <c r="C37" s="189"/>
      <c r="D37" s="196"/>
      <c r="E37" s="196"/>
      <c r="F37" s="196"/>
      <c r="G37" s="189"/>
      <c r="H37" s="189"/>
      <c r="I37" s="189"/>
      <c r="J37" s="189"/>
      <c r="K37" s="190">
        <f>SUM(K38:K40)</f>
        <v>287108.02</v>
      </c>
    </row>
    <row r="38" spans="1:11" ht="24">
      <c r="A38" s="783" t="s">
        <v>1324</v>
      </c>
      <c r="B38" s="784" t="s">
        <v>1325</v>
      </c>
      <c r="C38" s="784" t="s">
        <v>1298</v>
      </c>
      <c r="D38" s="786"/>
      <c r="E38" s="787"/>
      <c r="F38" s="787"/>
      <c r="G38" s="788"/>
      <c r="H38" s="788"/>
      <c r="I38" s="789"/>
      <c r="J38" s="790" t="s">
        <v>1291</v>
      </c>
      <c r="K38" s="791">
        <v>287108.02</v>
      </c>
    </row>
    <row r="39" spans="1:11" ht="24">
      <c r="A39" s="783" t="s">
        <v>1326</v>
      </c>
      <c r="B39" s="784" t="s">
        <v>1327</v>
      </c>
      <c r="C39" s="784" t="s">
        <v>1298</v>
      </c>
      <c r="D39" s="787"/>
      <c r="E39" s="787"/>
      <c r="F39" s="787"/>
      <c r="G39" s="788"/>
      <c r="H39" s="788"/>
      <c r="I39" s="789"/>
      <c r="J39" s="790" t="s">
        <v>1291</v>
      </c>
      <c r="K39" s="791">
        <v>0</v>
      </c>
    </row>
    <row r="40" spans="1:11" ht="24">
      <c r="A40" s="783" t="s">
        <v>1328</v>
      </c>
      <c r="B40" s="784" t="s">
        <v>1031</v>
      </c>
      <c r="C40" s="784" t="s">
        <v>1298</v>
      </c>
      <c r="D40" s="787"/>
      <c r="E40" s="787"/>
      <c r="F40" s="787"/>
      <c r="G40" s="788"/>
      <c r="H40" s="794">
        <v>70</v>
      </c>
      <c r="I40" s="794">
        <v>130</v>
      </c>
      <c r="J40" s="790" t="s">
        <v>1291</v>
      </c>
      <c r="K40" s="791">
        <v>0</v>
      </c>
    </row>
    <row r="41" spans="1:11">
      <c r="A41" s="795" t="s">
        <v>137</v>
      </c>
      <c r="B41" s="210"/>
      <c r="C41" s="210"/>
      <c r="D41" s="211"/>
      <c r="E41" s="211"/>
      <c r="F41" s="211"/>
      <c r="G41" s="210"/>
      <c r="H41" s="210"/>
      <c r="I41" s="210"/>
      <c r="J41" s="210"/>
      <c r="K41" s="213">
        <f>SUM(K42)</f>
        <v>58842</v>
      </c>
    </row>
    <row r="42" spans="1:11" ht="48">
      <c r="A42" s="797" t="s">
        <v>1329</v>
      </c>
      <c r="B42" s="784" t="s">
        <v>1312</v>
      </c>
      <c r="C42" s="784" t="s">
        <v>345</v>
      </c>
      <c r="D42" s="787"/>
      <c r="E42" s="787"/>
      <c r="F42" s="787"/>
      <c r="G42" s="788"/>
      <c r="H42" s="788"/>
      <c r="I42" s="789"/>
      <c r="J42" s="790" t="s">
        <v>1308</v>
      </c>
      <c r="K42" s="791">
        <v>58842</v>
      </c>
    </row>
    <row r="43" spans="1:11">
      <c r="A43" s="782" t="s">
        <v>136</v>
      </c>
      <c r="B43" s="189"/>
      <c r="C43" s="189"/>
      <c r="D43" s="196"/>
      <c r="E43" s="196"/>
      <c r="F43" s="196"/>
      <c r="G43" s="189"/>
      <c r="H43" s="189"/>
      <c r="I43" s="189"/>
      <c r="J43" s="189"/>
      <c r="K43" s="190">
        <f>SUM(K44:K55)</f>
        <v>1830498.8599999999</v>
      </c>
    </row>
    <row r="44" spans="1:11" ht="24">
      <c r="A44" s="783" t="s">
        <v>1330</v>
      </c>
      <c r="B44" s="784" t="s">
        <v>1302</v>
      </c>
      <c r="C44" s="784" t="s">
        <v>1298</v>
      </c>
      <c r="D44" s="786"/>
      <c r="E44" s="787"/>
      <c r="F44" s="787"/>
      <c r="G44" s="788"/>
      <c r="H44" s="788"/>
      <c r="I44" s="789"/>
      <c r="J44" s="790" t="s">
        <v>1291</v>
      </c>
      <c r="K44" s="791">
        <v>386457.56</v>
      </c>
    </row>
    <row r="45" spans="1:11" ht="24">
      <c r="A45" s="797" t="s">
        <v>1331</v>
      </c>
      <c r="B45" s="784" t="s">
        <v>1302</v>
      </c>
      <c r="C45" s="784" t="s">
        <v>1298</v>
      </c>
      <c r="D45" s="786"/>
      <c r="E45" s="787"/>
      <c r="F45" s="787"/>
      <c r="G45" s="788"/>
      <c r="H45" s="788"/>
      <c r="I45" s="789"/>
      <c r="J45" s="790" t="s">
        <v>1291</v>
      </c>
      <c r="K45" s="791">
        <v>495609.69</v>
      </c>
    </row>
    <row r="46" spans="1:11" ht="24">
      <c r="A46" s="797" t="s">
        <v>1332</v>
      </c>
      <c r="B46" s="784" t="s">
        <v>1031</v>
      </c>
      <c r="C46" s="784" t="s">
        <v>1298</v>
      </c>
      <c r="D46" s="786"/>
      <c r="E46" s="787"/>
      <c r="F46" s="787"/>
      <c r="G46" s="788"/>
      <c r="H46" s="788">
        <v>840</v>
      </c>
      <c r="I46" s="788">
        <v>4900</v>
      </c>
      <c r="J46" s="790" t="s">
        <v>1291</v>
      </c>
      <c r="K46" s="791">
        <v>383840</v>
      </c>
    </row>
    <row r="47" spans="1:11" ht="48">
      <c r="A47" s="797" t="s">
        <v>1333</v>
      </c>
      <c r="B47" s="784" t="s">
        <v>1327</v>
      </c>
      <c r="C47" s="784" t="s">
        <v>1298</v>
      </c>
      <c r="D47" s="786"/>
      <c r="E47" s="787"/>
      <c r="F47" s="787"/>
      <c r="G47" s="788"/>
      <c r="H47" s="788"/>
      <c r="I47" s="789"/>
      <c r="J47" s="790" t="s">
        <v>1308</v>
      </c>
      <c r="K47" s="791">
        <v>380191.61</v>
      </c>
    </row>
    <row r="48" spans="1:11" ht="24">
      <c r="A48" s="797" t="s">
        <v>1334</v>
      </c>
      <c r="B48" s="784" t="s">
        <v>1031</v>
      </c>
      <c r="C48" s="784" t="s">
        <v>1298</v>
      </c>
      <c r="D48" s="786"/>
      <c r="E48" s="787"/>
      <c r="F48" s="787"/>
      <c r="G48" s="788"/>
      <c r="H48" s="788">
        <v>120</v>
      </c>
      <c r="I48" s="789">
        <v>470</v>
      </c>
      <c r="J48" s="790" t="s">
        <v>1291</v>
      </c>
      <c r="K48" s="791">
        <v>88230</v>
      </c>
    </row>
    <row r="49" spans="1:11" ht="24">
      <c r="A49" s="797" t="s">
        <v>1335</v>
      </c>
      <c r="B49" s="784" t="s">
        <v>1327</v>
      </c>
      <c r="C49" s="784" t="s">
        <v>1298</v>
      </c>
      <c r="D49" s="786"/>
      <c r="E49" s="787"/>
      <c r="F49" s="787"/>
      <c r="G49" s="788"/>
      <c r="H49" s="788"/>
      <c r="I49" s="789"/>
      <c r="J49" s="790" t="s">
        <v>1291</v>
      </c>
      <c r="K49" s="791">
        <v>35000</v>
      </c>
    </row>
    <row r="50" spans="1:11" ht="36">
      <c r="A50" s="797" t="s">
        <v>1336</v>
      </c>
      <c r="B50" s="784" t="s">
        <v>1327</v>
      </c>
      <c r="C50" s="784" t="s">
        <v>1298</v>
      </c>
      <c r="D50" s="786"/>
      <c r="E50" s="787"/>
      <c r="F50" s="787"/>
      <c r="G50" s="788"/>
      <c r="H50" s="788"/>
      <c r="I50" s="789"/>
      <c r="J50" s="790" t="s">
        <v>1337</v>
      </c>
      <c r="K50" s="791">
        <v>48170</v>
      </c>
    </row>
    <row r="51" spans="1:11" ht="24">
      <c r="A51" s="797" t="s">
        <v>1338</v>
      </c>
      <c r="B51" s="784" t="s">
        <v>1327</v>
      </c>
      <c r="C51" s="784" t="s">
        <v>1298</v>
      </c>
      <c r="D51" s="786"/>
      <c r="E51" s="787"/>
      <c r="F51" s="787"/>
      <c r="G51" s="788"/>
      <c r="H51" s="788"/>
      <c r="I51" s="789"/>
      <c r="J51" s="790" t="s">
        <v>1291</v>
      </c>
      <c r="K51" s="791">
        <v>13000</v>
      </c>
    </row>
    <row r="52" spans="1:11" ht="24">
      <c r="A52" s="783" t="s">
        <v>1339</v>
      </c>
      <c r="B52" s="784"/>
      <c r="C52" s="784" t="s">
        <v>1298</v>
      </c>
      <c r="D52" s="786"/>
      <c r="E52" s="787"/>
      <c r="F52" s="787"/>
      <c r="G52" s="788"/>
      <c r="H52" s="788"/>
      <c r="I52" s="789"/>
      <c r="J52" s="790" t="s">
        <v>1291</v>
      </c>
      <c r="K52" s="801"/>
    </row>
    <row r="53" spans="1:11" ht="24">
      <c r="A53" s="783" t="s">
        <v>1340</v>
      </c>
      <c r="B53" s="784" t="s">
        <v>1302</v>
      </c>
      <c r="C53" s="784" t="s">
        <v>1298</v>
      </c>
      <c r="D53" s="787"/>
      <c r="E53" s="787"/>
      <c r="F53" s="787"/>
      <c r="G53" s="788"/>
      <c r="H53" s="788">
        <v>60</v>
      </c>
      <c r="I53" s="788">
        <v>70</v>
      </c>
      <c r="J53" s="790" t="s">
        <v>1291</v>
      </c>
      <c r="K53" s="791">
        <v>0</v>
      </c>
    </row>
    <row r="54" spans="1:11" ht="24">
      <c r="A54" s="783" t="s">
        <v>1341</v>
      </c>
      <c r="B54" s="784" t="s">
        <v>1327</v>
      </c>
      <c r="C54" s="784" t="s">
        <v>1298</v>
      </c>
      <c r="D54" s="787"/>
      <c r="E54" s="787"/>
      <c r="F54" s="787"/>
      <c r="G54" s="788"/>
      <c r="H54" s="788"/>
      <c r="I54" s="788"/>
      <c r="J54" s="790" t="s">
        <v>1291</v>
      </c>
      <c r="K54" s="791"/>
    </row>
    <row r="55" spans="1:11" ht="24">
      <c r="A55" s="783" t="s">
        <v>1342</v>
      </c>
      <c r="B55" s="784" t="s">
        <v>1327</v>
      </c>
      <c r="C55" s="784" t="s">
        <v>1298</v>
      </c>
      <c r="D55" s="194"/>
      <c r="E55" s="194"/>
      <c r="F55" s="194"/>
      <c r="G55" s="193"/>
      <c r="H55" s="193"/>
      <c r="I55" s="193"/>
      <c r="J55" s="790" t="s">
        <v>1291</v>
      </c>
      <c r="K55" s="195"/>
    </row>
    <row r="56" spans="1:11">
      <c r="A56" s="241" t="s">
        <v>108</v>
      </c>
      <c r="B56" s="242"/>
      <c r="C56" s="242"/>
      <c r="D56" s="243"/>
      <c r="E56" s="243"/>
      <c r="F56" s="243"/>
      <c r="G56" s="242"/>
      <c r="H56" s="242"/>
      <c r="I56" s="242"/>
      <c r="J56" s="242"/>
      <c r="K56" s="276">
        <f>+K9+K11+K15+K19+K30+K37+K41+K43</f>
        <v>13871068.870000001</v>
      </c>
    </row>
    <row r="57" spans="1:11">
      <c r="A57" s="245"/>
      <c r="B57" s="246"/>
      <c r="C57" s="246"/>
      <c r="D57" s="246"/>
      <c r="E57" s="246"/>
      <c r="F57" s="246"/>
      <c r="G57" s="246"/>
      <c r="H57" s="246"/>
      <c r="I57" s="246"/>
      <c r="J57" s="246"/>
      <c r="K57" s="246"/>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M58"/>
  <sheetViews>
    <sheetView showGridLines="0" zoomScaleNormal="100" workbookViewId="0"/>
  </sheetViews>
  <sheetFormatPr baseColWidth="10" defaultColWidth="11.5703125" defaultRowHeight="12.75"/>
  <cols>
    <col min="1" max="1" width="71" style="822" customWidth="1"/>
    <col min="2" max="2" width="27" style="892" customWidth="1"/>
    <col min="3" max="3" width="28.140625" style="822" customWidth="1"/>
    <col min="4" max="4" width="19.42578125" style="892" customWidth="1"/>
    <col min="5" max="5" width="16.7109375" style="822" customWidth="1"/>
    <col min="6" max="10" width="17.7109375" style="822" customWidth="1"/>
    <col min="11" max="11" width="20.7109375" style="822" customWidth="1"/>
    <col min="12" max="12" width="20.7109375" style="893" bestFit="1" customWidth="1"/>
    <col min="13" max="13" width="20.140625" style="822" hidden="1" customWidth="1"/>
    <col min="14" max="256" width="11.5703125" style="822"/>
    <col min="257" max="257" width="71" style="822" customWidth="1"/>
    <col min="258" max="258" width="27" style="822" customWidth="1"/>
    <col min="259" max="259" width="28.140625" style="822" customWidth="1"/>
    <col min="260" max="260" width="19.42578125" style="822" customWidth="1"/>
    <col min="261" max="261" width="16.7109375" style="822" customWidth="1"/>
    <col min="262" max="266" width="17.7109375" style="822" customWidth="1"/>
    <col min="267" max="267" width="20.7109375" style="822" customWidth="1"/>
    <col min="268" max="268" width="20.7109375" style="822" bestFit="1" customWidth="1"/>
    <col min="269" max="269" width="0" style="822" hidden="1" customWidth="1"/>
    <col min="270" max="512" width="11.5703125" style="822"/>
    <col min="513" max="513" width="71" style="822" customWidth="1"/>
    <col min="514" max="514" width="27" style="822" customWidth="1"/>
    <col min="515" max="515" width="28.140625" style="822" customWidth="1"/>
    <col min="516" max="516" width="19.42578125" style="822" customWidth="1"/>
    <col min="517" max="517" width="16.7109375" style="822" customWidth="1"/>
    <col min="518" max="522" width="17.7109375" style="822" customWidth="1"/>
    <col min="523" max="523" width="20.7109375" style="822" customWidth="1"/>
    <col min="524" max="524" width="20.7109375" style="822" bestFit="1" customWidth="1"/>
    <col min="525" max="525" width="0" style="822" hidden="1" customWidth="1"/>
    <col min="526" max="768" width="11.5703125" style="822"/>
    <col min="769" max="769" width="71" style="822" customWidth="1"/>
    <col min="770" max="770" width="27" style="822" customWidth="1"/>
    <col min="771" max="771" width="28.140625" style="822" customWidth="1"/>
    <col min="772" max="772" width="19.42578125" style="822" customWidth="1"/>
    <col min="773" max="773" width="16.7109375" style="822" customWidth="1"/>
    <col min="774" max="778" width="17.7109375" style="822" customWidth="1"/>
    <col min="779" max="779" width="20.7109375" style="822" customWidth="1"/>
    <col min="780" max="780" width="20.7109375" style="822" bestFit="1" customWidth="1"/>
    <col min="781" max="781" width="0" style="822" hidden="1" customWidth="1"/>
    <col min="782" max="1024" width="11.5703125" style="822"/>
    <col min="1025" max="1025" width="71" style="822" customWidth="1"/>
    <col min="1026" max="1026" width="27" style="822" customWidth="1"/>
    <col min="1027" max="1027" width="28.140625" style="822" customWidth="1"/>
    <col min="1028" max="1028" width="19.42578125" style="822" customWidth="1"/>
    <col min="1029" max="1029" width="16.7109375" style="822" customWidth="1"/>
    <col min="1030" max="1034" width="17.7109375" style="822" customWidth="1"/>
    <col min="1035" max="1035" width="20.7109375" style="822" customWidth="1"/>
    <col min="1036" max="1036" width="20.7109375" style="822" bestFit="1" customWidth="1"/>
    <col min="1037" max="1037" width="0" style="822" hidden="1" customWidth="1"/>
    <col min="1038" max="1280" width="11.5703125" style="822"/>
    <col min="1281" max="1281" width="71" style="822" customWidth="1"/>
    <col min="1282" max="1282" width="27" style="822" customWidth="1"/>
    <col min="1283" max="1283" width="28.140625" style="822" customWidth="1"/>
    <col min="1284" max="1284" width="19.42578125" style="822" customWidth="1"/>
    <col min="1285" max="1285" width="16.7109375" style="822" customWidth="1"/>
    <col min="1286" max="1290" width="17.7109375" style="822" customWidth="1"/>
    <col min="1291" max="1291" width="20.7109375" style="822" customWidth="1"/>
    <col min="1292" max="1292" width="20.7109375" style="822" bestFit="1" customWidth="1"/>
    <col min="1293" max="1293" width="0" style="822" hidden="1" customWidth="1"/>
    <col min="1294" max="1536" width="11.5703125" style="822"/>
    <col min="1537" max="1537" width="71" style="822" customWidth="1"/>
    <col min="1538" max="1538" width="27" style="822" customWidth="1"/>
    <col min="1539" max="1539" width="28.140625" style="822" customWidth="1"/>
    <col min="1540" max="1540" width="19.42578125" style="822" customWidth="1"/>
    <col min="1541" max="1541" width="16.7109375" style="822" customWidth="1"/>
    <col min="1542" max="1546" width="17.7109375" style="822" customWidth="1"/>
    <col min="1547" max="1547" width="20.7109375" style="822" customWidth="1"/>
    <col min="1548" max="1548" width="20.7109375" style="822" bestFit="1" customWidth="1"/>
    <col min="1549" max="1549" width="0" style="822" hidden="1" customWidth="1"/>
    <col min="1550" max="1792" width="11.5703125" style="822"/>
    <col min="1793" max="1793" width="71" style="822" customWidth="1"/>
    <col min="1794" max="1794" width="27" style="822" customWidth="1"/>
    <col min="1795" max="1795" width="28.140625" style="822" customWidth="1"/>
    <col min="1796" max="1796" width="19.42578125" style="822" customWidth="1"/>
    <col min="1797" max="1797" width="16.7109375" style="822" customWidth="1"/>
    <col min="1798" max="1802" width="17.7109375" style="822" customWidth="1"/>
    <col min="1803" max="1803" width="20.7109375" style="822" customWidth="1"/>
    <col min="1804" max="1804" width="20.7109375" style="822" bestFit="1" customWidth="1"/>
    <col min="1805" max="1805" width="0" style="822" hidden="1" customWidth="1"/>
    <col min="1806" max="2048" width="11.5703125" style="822"/>
    <col min="2049" max="2049" width="71" style="822" customWidth="1"/>
    <col min="2050" max="2050" width="27" style="822" customWidth="1"/>
    <col min="2051" max="2051" width="28.140625" style="822" customWidth="1"/>
    <col min="2052" max="2052" width="19.42578125" style="822" customWidth="1"/>
    <col min="2053" max="2053" width="16.7109375" style="822" customWidth="1"/>
    <col min="2054" max="2058" width="17.7109375" style="822" customWidth="1"/>
    <col min="2059" max="2059" width="20.7109375" style="822" customWidth="1"/>
    <col min="2060" max="2060" width="20.7109375" style="822" bestFit="1" customWidth="1"/>
    <col min="2061" max="2061" width="0" style="822" hidden="1" customWidth="1"/>
    <col min="2062" max="2304" width="11.5703125" style="822"/>
    <col min="2305" max="2305" width="71" style="822" customWidth="1"/>
    <col min="2306" max="2306" width="27" style="822" customWidth="1"/>
    <col min="2307" max="2307" width="28.140625" style="822" customWidth="1"/>
    <col min="2308" max="2308" width="19.42578125" style="822" customWidth="1"/>
    <col min="2309" max="2309" width="16.7109375" style="822" customWidth="1"/>
    <col min="2310" max="2314" width="17.7109375" style="822" customWidth="1"/>
    <col min="2315" max="2315" width="20.7109375" style="822" customWidth="1"/>
    <col min="2316" max="2316" width="20.7109375" style="822" bestFit="1" customWidth="1"/>
    <col min="2317" max="2317" width="0" style="822" hidden="1" customWidth="1"/>
    <col min="2318" max="2560" width="11.5703125" style="822"/>
    <col min="2561" max="2561" width="71" style="822" customWidth="1"/>
    <col min="2562" max="2562" width="27" style="822" customWidth="1"/>
    <col min="2563" max="2563" width="28.140625" style="822" customWidth="1"/>
    <col min="2564" max="2564" width="19.42578125" style="822" customWidth="1"/>
    <col min="2565" max="2565" width="16.7109375" style="822" customWidth="1"/>
    <col min="2566" max="2570" width="17.7109375" style="822" customWidth="1"/>
    <col min="2571" max="2571" width="20.7109375" style="822" customWidth="1"/>
    <col min="2572" max="2572" width="20.7109375" style="822" bestFit="1" customWidth="1"/>
    <col min="2573" max="2573" width="0" style="822" hidden="1" customWidth="1"/>
    <col min="2574" max="2816" width="11.5703125" style="822"/>
    <col min="2817" max="2817" width="71" style="822" customWidth="1"/>
    <col min="2818" max="2818" width="27" style="822" customWidth="1"/>
    <col min="2819" max="2819" width="28.140625" style="822" customWidth="1"/>
    <col min="2820" max="2820" width="19.42578125" style="822" customWidth="1"/>
    <col min="2821" max="2821" width="16.7109375" style="822" customWidth="1"/>
    <col min="2822" max="2826" width="17.7109375" style="822" customWidth="1"/>
    <col min="2827" max="2827" width="20.7109375" style="822" customWidth="1"/>
    <col min="2828" max="2828" width="20.7109375" style="822" bestFit="1" customWidth="1"/>
    <col min="2829" max="2829" width="0" style="822" hidden="1" customWidth="1"/>
    <col min="2830" max="3072" width="11.5703125" style="822"/>
    <col min="3073" max="3073" width="71" style="822" customWidth="1"/>
    <col min="3074" max="3074" width="27" style="822" customWidth="1"/>
    <col min="3075" max="3075" width="28.140625" style="822" customWidth="1"/>
    <col min="3076" max="3076" width="19.42578125" style="822" customWidth="1"/>
    <col min="3077" max="3077" width="16.7109375" style="822" customWidth="1"/>
    <col min="3078" max="3082" width="17.7109375" style="822" customWidth="1"/>
    <col min="3083" max="3083" width="20.7109375" style="822" customWidth="1"/>
    <col min="3084" max="3084" width="20.7109375" style="822" bestFit="1" customWidth="1"/>
    <col min="3085" max="3085" width="0" style="822" hidden="1" customWidth="1"/>
    <col min="3086" max="3328" width="11.5703125" style="822"/>
    <col min="3329" max="3329" width="71" style="822" customWidth="1"/>
    <col min="3330" max="3330" width="27" style="822" customWidth="1"/>
    <col min="3331" max="3331" width="28.140625" style="822" customWidth="1"/>
    <col min="3332" max="3332" width="19.42578125" style="822" customWidth="1"/>
    <col min="3333" max="3333" width="16.7109375" style="822" customWidth="1"/>
    <col min="3334" max="3338" width="17.7109375" style="822" customWidth="1"/>
    <col min="3339" max="3339" width="20.7109375" style="822" customWidth="1"/>
    <col min="3340" max="3340" width="20.7109375" style="822" bestFit="1" customWidth="1"/>
    <col min="3341" max="3341" width="0" style="822" hidden="1" customWidth="1"/>
    <col min="3342" max="3584" width="11.5703125" style="822"/>
    <col min="3585" max="3585" width="71" style="822" customWidth="1"/>
    <col min="3586" max="3586" width="27" style="822" customWidth="1"/>
    <col min="3587" max="3587" width="28.140625" style="822" customWidth="1"/>
    <col min="3588" max="3588" width="19.42578125" style="822" customWidth="1"/>
    <col min="3589" max="3589" width="16.7109375" style="822" customWidth="1"/>
    <col min="3590" max="3594" width="17.7109375" style="822" customWidth="1"/>
    <col min="3595" max="3595" width="20.7109375" style="822" customWidth="1"/>
    <col min="3596" max="3596" width="20.7109375" style="822" bestFit="1" customWidth="1"/>
    <col min="3597" max="3597" width="0" style="822" hidden="1" customWidth="1"/>
    <col min="3598" max="3840" width="11.5703125" style="822"/>
    <col min="3841" max="3841" width="71" style="822" customWidth="1"/>
    <col min="3842" max="3842" width="27" style="822" customWidth="1"/>
    <col min="3843" max="3843" width="28.140625" style="822" customWidth="1"/>
    <col min="3844" max="3844" width="19.42578125" style="822" customWidth="1"/>
    <col min="3845" max="3845" width="16.7109375" style="822" customWidth="1"/>
    <col min="3846" max="3850" width="17.7109375" style="822" customWidth="1"/>
    <col min="3851" max="3851" width="20.7109375" style="822" customWidth="1"/>
    <col min="3852" max="3852" width="20.7109375" style="822" bestFit="1" customWidth="1"/>
    <col min="3853" max="3853" width="0" style="822" hidden="1" customWidth="1"/>
    <col min="3854" max="4096" width="11.5703125" style="822"/>
    <col min="4097" max="4097" width="71" style="822" customWidth="1"/>
    <col min="4098" max="4098" width="27" style="822" customWidth="1"/>
    <col min="4099" max="4099" width="28.140625" style="822" customWidth="1"/>
    <col min="4100" max="4100" width="19.42578125" style="822" customWidth="1"/>
    <col min="4101" max="4101" width="16.7109375" style="822" customWidth="1"/>
    <col min="4102" max="4106" width="17.7109375" style="822" customWidth="1"/>
    <col min="4107" max="4107" width="20.7109375" style="822" customWidth="1"/>
    <col min="4108" max="4108" width="20.7109375" style="822" bestFit="1" customWidth="1"/>
    <col min="4109" max="4109" width="0" style="822" hidden="1" customWidth="1"/>
    <col min="4110" max="4352" width="11.5703125" style="822"/>
    <col min="4353" max="4353" width="71" style="822" customWidth="1"/>
    <col min="4354" max="4354" width="27" style="822" customWidth="1"/>
    <col min="4355" max="4355" width="28.140625" style="822" customWidth="1"/>
    <col min="4356" max="4356" width="19.42578125" style="822" customWidth="1"/>
    <col min="4357" max="4357" width="16.7109375" style="822" customWidth="1"/>
    <col min="4358" max="4362" width="17.7109375" style="822" customWidth="1"/>
    <col min="4363" max="4363" width="20.7109375" style="822" customWidth="1"/>
    <col min="4364" max="4364" width="20.7109375" style="822" bestFit="1" customWidth="1"/>
    <col min="4365" max="4365" width="0" style="822" hidden="1" customWidth="1"/>
    <col min="4366" max="4608" width="11.5703125" style="822"/>
    <col min="4609" max="4609" width="71" style="822" customWidth="1"/>
    <col min="4610" max="4610" width="27" style="822" customWidth="1"/>
    <col min="4611" max="4611" width="28.140625" style="822" customWidth="1"/>
    <col min="4612" max="4612" width="19.42578125" style="822" customWidth="1"/>
    <col min="4613" max="4613" width="16.7109375" style="822" customWidth="1"/>
    <col min="4614" max="4618" width="17.7109375" style="822" customWidth="1"/>
    <col min="4619" max="4619" width="20.7109375" style="822" customWidth="1"/>
    <col min="4620" max="4620" width="20.7109375" style="822" bestFit="1" customWidth="1"/>
    <col min="4621" max="4621" width="0" style="822" hidden="1" customWidth="1"/>
    <col min="4622" max="4864" width="11.5703125" style="822"/>
    <col min="4865" max="4865" width="71" style="822" customWidth="1"/>
    <col min="4866" max="4866" width="27" style="822" customWidth="1"/>
    <col min="4867" max="4867" width="28.140625" style="822" customWidth="1"/>
    <col min="4868" max="4868" width="19.42578125" style="822" customWidth="1"/>
    <col min="4869" max="4869" width="16.7109375" style="822" customWidth="1"/>
    <col min="4870" max="4874" width="17.7109375" style="822" customWidth="1"/>
    <col min="4875" max="4875" width="20.7109375" style="822" customWidth="1"/>
    <col min="4876" max="4876" width="20.7109375" style="822" bestFit="1" customWidth="1"/>
    <col min="4877" max="4877" width="0" style="822" hidden="1" customWidth="1"/>
    <col min="4878" max="5120" width="11.5703125" style="822"/>
    <col min="5121" max="5121" width="71" style="822" customWidth="1"/>
    <col min="5122" max="5122" width="27" style="822" customWidth="1"/>
    <col min="5123" max="5123" width="28.140625" style="822" customWidth="1"/>
    <col min="5124" max="5124" width="19.42578125" style="822" customWidth="1"/>
    <col min="5125" max="5125" width="16.7109375" style="822" customWidth="1"/>
    <col min="5126" max="5130" width="17.7109375" style="822" customWidth="1"/>
    <col min="5131" max="5131" width="20.7109375" style="822" customWidth="1"/>
    <col min="5132" max="5132" width="20.7109375" style="822" bestFit="1" customWidth="1"/>
    <col min="5133" max="5133" width="0" style="822" hidden="1" customWidth="1"/>
    <col min="5134" max="5376" width="11.5703125" style="822"/>
    <col min="5377" max="5377" width="71" style="822" customWidth="1"/>
    <col min="5378" max="5378" width="27" style="822" customWidth="1"/>
    <col min="5379" max="5379" width="28.140625" style="822" customWidth="1"/>
    <col min="5380" max="5380" width="19.42578125" style="822" customWidth="1"/>
    <col min="5381" max="5381" width="16.7109375" style="822" customWidth="1"/>
    <col min="5382" max="5386" width="17.7109375" style="822" customWidth="1"/>
    <col min="5387" max="5387" width="20.7109375" style="822" customWidth="1"/>
    <col min="5388" max="5388" width="20.7109375" style="822" bestFit="1" customWidth="1"/>
    <col min="5389" max="5389" width="0" style="822" hidden="1" customWidth="1"/>
    <col min="5390" max="5632" width="11.5703125" style="822"/>
    <col min="5633" max="5633" width="71" style="822" customWidth="1"/>
    <col min="5634" max="5634" width="27" style="822" customWidth="1"/>
    <col min="5635" max="5635" width="28.140625" style="822" customWidth="1"/>
    <col min="5636" max="5636" width="19.42578125" style="822" customWidth="1"/>
    <col min="5637" max="5637" width="16.7109375" style="822" customWidth="1"/>
    <col min="5638" max="5642" width="17.7109375" style="822" customWidth="1"/>
    <col min="5643" max="5643" width="20.7109375" style="822" customWidth="1"/>
    <col min="5644" max="5644" width="20.7109375" style="822" bestFit="1" customWidth="1"/>
    <col min="5645" max="5645" width="0" style="822" hidden="1" customWidth="1"/>
    <col min="5646" max="5888" width="11.5703125" style="822"/>
    <col min="5889" max="5889" width="71" style="822" customWidth="1"/>
    <col min="5890" max="5890" width="27" style="822" customWidth="1"/>
    <col min="5891" max="5891" width="28.140625" style="822" customWidth="1"/>
    <col min="5892" max="5892" width="19.42578125" style="822" customWidth="1"/>
    <col min="5893" max="5893" width="16.7109375" style="822" customWidth="1"/>
    <col min="5894" max="5898" width="17.7109375" style="822" customWidth="1"/>
    <col min="5899" max="5899" width="20.7109375" style="822" customWidth="1"/>
    <col min="5900" max="5900" width="20.7109375" style="822" bestFit="1" customWidth="1"/>
    <col min="5901" max="5901" width="0" style="822" hidden="1" customWidth="1"/>
    <col min="5902" max="6144" width="11.5703125" style="822"/>
    <col min="6145" max="6145" width="71" style="822" customWidth="1"/>
    <col min="6146" max="6146" width="27" style="822" customWidth="1"/>
    <col min="6147" max="6147" width="28.140625" style="822" customWidth="1"/>
    <col min="6148" max="6148" width="19.42578125" style="822" customWidth="1"/>
    <col min="6149" max="6149" width="16.7109375" style="822" customWidth="1"/>
    <col min="6150" max="6154" width="17.7109375" style="822" customWidth="1"/>
    <col min="6155" max="6155" width="20.7109375" style="822" customWidth="1"/>
    <col min="6156" max="6156" width="20.7109375" style="822" bestFit="1" customWidth="1"/>
    <col min="6157" max="6157" width="0" style="822" hidden="1" customWidth="1"/>
    <col min="6158" max="6400" width="11.5703125" style="822"/>
    <col min="6401" max="6401" width="71" style="822" customWidth="1"/>
    <col min="6402" max="6402" width="27" style="822" customWidth="1"/>
    <col min="6403" max="6403" width="28.140625" style="822" customWidth="1"/>
    <col min="6404" max="6404" width="19.42578125" style="822" customWidth="1"/>
    <col min="6405" max="6405" width="16.7109375" style="822" customWidth="1"/>
    <col min="6406" max="6410" width="17.7109375" style="822" customWidth="1"/>
    <col min="6411" max="6411" width="20.7109375" style="822" customWidth="1"/>
    <col min="6412" max="6412" width="20.7109375" style="822" bestFit="1" customWidth="1"/>
    <col min="6413" max="6413" width="0" style="822" hidden="1" customWidth="1"/>
    <col min="6414" max="6656" width="11.5703125" style="822"/>
    <col min="6657" max="6657" width="71" style="822" customWidth="1"/>
    <col min="6658" max="6658" width="27" style="822" customWidth="1"/>
    <col min="6659" max="6659" width="28.140625" style="822" customWidth="1"/>
    <col min="6660" max="6660" width="19.42578125" style="822" customWidth="1"/>
    <col min="6661" max="6661" width="16.7109375" style="822" customWidth="1"/>
    <col min="6662" max="6666" width="17.7109375" style="822" customWidth="1"/>
    <col min="6667" max="6667" width="20.7109375" style="822" customWidth="1"/>
    <col min="6668" max="6668" width="20.7109375" style="822" bestFit="1" customWidth="1"/>
    <col min="6669" max="6669" width="0" style="822" hidden="1" customWidth="1"/>
    <col min="6670" max="6912" width="11.5703125" style="822"/>
    <col min="6913" max="6913" width="71" style="822" customWidth="1"/>
    <col min="6914" max="6914" width="27" style="822" customWidth="1"/>
    <col min="6915" max="6915" width="28.140625" style="822" customWidth="1"/>
    <col min="6916" max="6916" width="19.42578125" style="822" customWidth="1"/>
    <col min="6917" max="6917" width="16.7109375" style="822" customWidth="1"/>
    <col min="6918" max="6922" width="17.7109375" style="822" customWidth="1"/>
    <col min="6923" max="6923" width="20.7109375" style="822" customWidth="1"/>
    <col min="6924" max="6924" width="20.7109375" style="822" bestFit="1" customWidth="1"/>
    <col min="6925" max="6925" width="0" style="822" hidden="1" customWidth="1"/>
    <col min="6926" max="7168" width="11.5703125" style="822"/>
    <col min="7169" max="7169" width="71" style="822" customWidth="1"/>
    <col min="7170" max="7170" width="27" style="822" customWidth="1"/>
    <col min="7171" max="7171" width="28.140625" style="822" customWidth="1"/>
    <col min="7172" max="7172" width="19.42578125" style="822" customWidth="1"/>
    <col min="7173" max="7173" width="16.7109375" style="822" customWidth="1"/>
    <col min="7174" max="7178" width="17.7109375" style="822" customWidth="1"/>
    <col min="7179" max="7179" width="20.7109375" style="822" customWidth="1"/>
    <col min="7180" max="7180" width="20.7109375" style="822" bestFit="1" customWidth="1"/>
    <col min="7181" max="7181" width="0" style="822" hidden="1" customWidth="1"/>
    <col min="7182" max="7424" width="11.5703125" style="822"/>
    <col min="7425" max="7425" width="71" style="822" customWidth="1"/>
    <col min="7426" max="7426" width="27" style="822" customWidth="1"/>
    <col min="7427" max="7427" width="28.140625" style="822" customWidth="1"/>
    <col min="7428" max="7428" width="19.42578125" style="822" customWidth="1"/>
    <col min="7429" max="7429" width="16.7109375" style="822" customWidth="1"/>
    <col min="7430" max="7434" width="17.7109375" style="822" customWidth="1"/>
    <col min="7435" max="7435" width="20.7109375" style="822" customWidth="1"/>
    <col min="7436" max="7436" width="20.7109375" style="822" bestFit="1" customWidth="1"/>
    <col min="7437" max="7437" width="0" style="822" hidden="1" customWidth="1"/>
    <col min="7438" max="7680" width="11.5703125" style="822"/>
    <col min="7681" max="7681" width="71" style="822" customWidth="1"/>
    <col min="7682" max="7682" width="27" style="822" customWidth="1"/>
    <col min="7683" max="7683" width="28.140625" style="822" customWidth="1"/>
    <col min="7684" max="7684" width="19.42578125" style="822" customWidth="1"/>
    <col min="7685" max="7685" width="16.7109375" style="822" customWidth="1"/>
    <col min="7686" max="7690" width="17.7109375" style="822" customWidth="1"/>
    <col min="7691" max="7691" width="20.7109375" style="822" customWidth="1"/>
    <col min="7692" max="7692" width="20.7109375" style="822" bestFit="1" customWidth="1"/>
    <col min="7693" max="7693" width="0" style="822" hidden="1" customWidth="1"/>
    <col min="7694" max="7936" width="11.5703125" style="822"/>
    <col min="7937" max="7937" width="71" style="822" customWidth="1"/>
    <col min="7938" max="7938" width="27" style="822" customWidth="1"/>
    <col min="7939" max="7939" width="28.140625" style="822" customWidth="1"/>
    <col min="7940" max="7940" width="19.42578125" style="822" customWidth="1"/>
    <col min="7941" max="7941" width="16.7109375" style="822" customWidth="1"/>
    <col min="7942" max="7946" width="17.7109375" style="822" customWidth="1"/>
    <col min="7947" max="7947" width="20.7109375" style="822" customWidth="1"/>
    <col min="7948" max="7948" width="20.7109375" style="822" bestFit="1" customWidth="1"/>
    <col min="7949" max="7949" width="0" style="822" hidden="1" customWidth="1"/>
    <col min="7950" max="8192" width="11.5703125" style="822"/>
    <col min="8193" max="8193" width="71" style="822" customWidth="1"/>
    <col min="8194" max="8194" width="27" style="822" customWidth="1"/>
    <col min="8195" max="8195" width="28.140625" style="822" customWidth="1"/>
    <col min="8196" max="8196" width="19.42578125" style="822" customWidth="1"/>
    <col min="8197" max="8197" width="16.7109375" style="822" customWidth="1"/>
    <col min="8198" max="8202" width="17.7109375" style="822" customWidth="1"/>
    <col min="8203" max="8203" width="20.7109375" style="822" customWidth="1"/>
    <col min="8204" max="8204" width="20.7109375" style="822" bestFit="1" customWidth="1"/>
    <col min="8205" max="8205" width="0" style="822" hidden="1" customWidth="1"/>
    <col min="8206" max="8448" width="11.5703125" style="822"/>
    <col min="8449" max="8449" width="71" style="822" customWidth="1"/>
    <col min="8450" max="8450" width="27" style="822" customWidth="1"/>
    <col min="8451" max="8451" width="28.140625" style="822" customWidth="1"/>
    <col min="8452" max="8452" width="19.42578125" style="822" customWidth="1"/>
    <col min="8453" max="8453" width="16.7109375" style="822" customWidth="1"/>
    <col min="8454" max="8458" width="17.7109375" style="822" customWidth="1"/>
    <col min="8459" max="8459" width="20.7109375" style="822" customWidth="1"/>
    <col min="8460" max="8460" width="20.7109375" style="822" bestFit="1" customWidth="1"/>
    <col min="8461" max="8461" width="0" style="822" hidden="1" customWidth="1"/>
    <col min="8462" max="8704" width="11.5703125" style="822"/>
    <col min="8705" max="8705" width="71" style="822" customWidth="1"/>
    <col min="8706" max="8706" width="27" style="822" customWidth="1"/>
    <col min="8707" max="8707" width="28.140625" style="822" customWidth="1"/>
    <col min="8708" max="8708" width="19.42578125" style="822" customWidth="1"/>
    <col min="8709" max="8709" width="16.7109375" style="822" customWidth="1"/>
    <col min="8710" max="8714" width="17.7109375" style="822" customWidth="1"/>
    <col min="8715" max="8715" width="20.7109375" style="822" customWidth="1"/>
    <col min="8716" max="8716" width="20.7109375" style="822" bestFit="1" customWidth="1"/>
    <col min="8717" max="8717" width="0" style="822" hidden="1" customWidth="1"/>
    <col min="8718" max="8960" width="11.5703125" style="822"/>
    <col min="8961" max="8961" width="71" style="822" customWidth="1"/>
    <col min="8962" max="8962" width="27" style="822" customWidth="1"/>
    <col min="8963" max="8963" width="28.140625" style="822" customWidth="1"/>
    <col min="8964" max="8964" width="19.42578125" style="822" customWidth="1"/>
    <col min="8965" max="8965" width="16.7109375" style="822" customWidth="1"/>
    <col min="8966" max="8970" width="17.7109375" style="822" customWidth="1"/>
    <col min="8971" max="8971" width="20.7109375" style="822" customWidth="1"/>
    <col min="8972" max="8972" width="20.7109375" style="822" bestFit="1" customWidth="1"/>
    <col min="8973" max="8973" width="0" style="822" hidden="1" customWidth="1"/>
    <col min="8974" max="9216" width="11.5703125" style="822"/>
    <col min="9217" max="9217" width="71" style="822" customWidth="1"/>
    <col min="9218" max="9218" width="27" style="822" customWidth="1"/>
    <col min="9219" max="9219" width="28.140625" style="822" customWidth="1"/>
    <col min="9220" max="9220" width="19.42578125" style="822" customWidth="1"/>
    <col min="9221" max="9221" width="16.7109375" style="822" customWidth="1"/>
    <col min="9222" max="9226" width="17.7109375" style="822" customWidth="1"/>
    <col min="9227" max="9227" width="20.7109375" style="822" customWidth="1"/>
    <col min="9228" max="9228" width="20.7109375" style="822" bestFit="1" customWidth="1"/>
    <col min="9229" max="9229" width="0" style="822" hidden="1" customWidth="1"/>
    <col min="9230" max="9472" width="11.5703125" style="822"/>
    <col min="9473" max="9473" width="71" style="822" customWidth="1"/>
    <col min="9474" max="9474" width="27" style="822" customWidth="1"/>
    <col min="9475" max="9475" width="28.140625" style="822" customWidth="1"/>
    <col min="9476" max="9476" width="19.42578125" style="822" customWidth="1"/>
    <col min="9477" max="9477" width="16.7109375" style="822" customWidth="1"/>
    <col min="9478" max="9482" width="17.7109375" style="822" customWidth="1"/>
    <col min="9483" max="9483" width="20.7109375" style="822" customWidth="1"/>
    <col min="9484" max="9484" width="20.7109375" style="822" bestFit="1" customWidth="1"/>
    <col min="9485" max="9485" width="0" style="822" hidden="1" customWidth="1"/>
    <col min="9486" max="9728" width="11.5703125" style="822"/>
    <col min="9729" max="9729" width="71" style="822" customWidth="1"/>
    <col min="9730" max="9730" width="27" style="822" customWidth="1"/>
    <col min="9731" max="9731" width="28.140625" style="822" customWidth="1"/>
    <col min="9732" max="9732" width="19.42578125" style="822" customWidth="1"/>
    <col min="9733" max="9733" width="16.7109375" style="822" customWidth="1"/>
    <col min="9734" max="9738" width="17.7109375" style="822" customWidth="1"/>
    <col min="9739" max="9739" width="20.7109375" style="822" customWidth="1"/>
    <col min="9740" max="9740" width="20.7109375" style="822" bestFit="1" customWidth="1"/>
    <col min="9741" max="9741" width="0" style="822" hidden="1" customWidth="1"/>
    <col min="9742" max="9984" width="11.5703125" style="822"/>
    <col min="9985" max="9985" width="71" style="822" customWidth="1"/>
    <col min="9986" max="9986" width="27" style="822" customWidth="1"/>
    <col min="9987" max="9987" width="28.140625" style="822" customWidth="1"/>
    <col min="9988" max="9988" width="19.42578125" style="822" customWidth="1"/>
    <col min="9989" max="9989" width="16.7109375" style="822" customWidth="1"/>
    <col min="9990" max="9994" width="17.7109375" style="822" customWidth="1"/>
    <col min="9995" max="9995" width="20.7109375" style="822" customWidth="1"/>
    <col min="9996" max="9996" width="20.7109375" style="822" bestFit="1" customWidth="1"/>
    <col min="9997" max="9997" width="0" style="822" hidden="1" customWidth="1"/>
    <col min="9998" max="10240" width="11.5703125" style="822"/>
    <col min="10241" max="10241" width="71" style="822" customWidth="1"/>
    <col min="10242" max="10242" width="27" style="822" customWidth="1"/>
    <col min="10243" max="10243" width="28.140625" style="822" customWidth="1"/>
    <col min="10244" max="10244" width="19.42578125" style="822" customWidth="1"/>
    <col min="10245" max="10245" width="16.7109375" style="822" customWidth="1"/>
    <col min="10246" max="10250" width="17.7109375" style="822" customWidth="1"/>
    <col min="10251" max="10251" width="20.7109375" style="822" customWidth="1"/>
    <col min="10252" max="10252" width="20.7109375" style="822" bestFit="1" customWidth="1"/>
    <col min="10253" max="10253" width="0" style="822" hidden="1" customWidth="1"/>
    <col min="10254" max="10496" width="11.5703125" style="822"/>
    <col min="10497" max="10497" width="71" style="822" customWidth="1"/>
    <col min="10498" max="10498" width="27" style="822" customWidth="1"/>
    <col min="10499" max="10499" width="28.140625" style="822" customWidth="1"/>
    <col min="10500" max="10500" width="19.42578125" style="822" customWidth="1"/>
    <col min="10501" max="10501" width="16.7109375" style="822" customWidth="1"/>
    <col min="10502" max="10506" width="17.7109375" style="822" customWidth="1"/>
    <col min="10507" max="10507" width="20.7109375" style="822" customWidth="1"/>
    <col min="10508" max="10508" width="20.7109375" style="822" bestFit="1" customWidth="1"/>
    <col min="10509" max="10509" width="0" style="822" hidden="1" customWidth="1"/>
    <col min="10510" max="10752" width="11.5703125" style="822"/>
    <col min="10753" max="10753" width="71" style="822" customWidth="1"/>
    <col min="10754" max="10754" width="27" style="822" customWidth="1"/>
    <col min="10755" max="10755" width="28.140625" style="822" customWidth="1"/>
    <col min="10756" max="10756" width="19.42578125" style="822" customWidth="1"/>
    <col min="10757" max="10757" width="16.7109375" style="822" customWidth="1"/>
    <col min="10758" max="10762" width="17.7109375" style="822" customWidth="1"/>
    <col min="10763" max="10763" width="20.7109375" style="822" customWidth="1"/>
    <col min="10764" max="10764" width="20.7109375" style="822" bestFit="1" customWidth="1"/>
    <col min="10765" max="10765" width="0" style="822" hidden="1" customWidth="1"/>
    <col min="10766" max="11008" width="11.5703125" style="822"/>
    <col min="11009" max="11009" width="71" style="822" customWidth="1"/>
    <col min="11010" max="11010" width="27" style="822" customWidth="1"/>
    <col min="11011" max="11011" width="28.140625" style="822" customWidth="1"/>
    <col min="11012" max="11012" width="19.42578125" style="822" customWidth="1"/>
    <col min="11013" max="11013" width="16.7109375" style="822" customWidth="1"/>
    <col min="11014" max="11018" width="17.7109375" style="822" customWidth="1"/>
    <col min="11019" max="11019" width="20.7109375" style="822" customWidth="1"/>
    <col min="11020" max="11020" width="20.7109375" style="822" bestFit="1" customWidth="1"/>
    <col min="11021" max="11021" width="0" style="822" hidden="1" customWidth="1"/>
    <col min="11022" max="11264" width="11.5703125" style="822"/>
    <col min="11265" max="11265" width="71" style="822" customWidth="1"/>
    <col min="11266" max="11266" width="27" style="822" customWidth="1"/>
    <col min="11267" max="11267" width="28.140625" style="822" customWidth="1"/>
    <col min="11268" max="11268" width="19.42578125" style="822" customWidth="1"/>
    <col min="11269" max="11269" width="16.7109375" style="822" customWidth="1"/>
    <col min="11270" max="11274" width="17.7109375" style="822" customWidth="1"/>
    <col min="11275" max="11275" width="20.7109375" style="822" customWidth="1"/>
    <col min="11276" max="11276" width="20.7109375" style="822" bestFit="1" customWidth="1"/>
    <col min="11277" max="11277" width="0" style="822" hidden="1" customWidth="1"/>
    <col min="11278" max="11520" width="11.5703125" style="822"/>
    <col min="11521" max="11521" width="71" style="822" customWidth="1"/>
    <col min="11522" max="11522" width="27" style="822" customWidth="1"/>
    <col min="11523" max="11523" width="28.140625" style="822" customWidth="1"/>
    <col min="11524" max="11524" width="19.42578125" style="822" customWidth="1"/>
    <col min="11525" max="11525" width="16.7109375" style="822" customWidth="1"/>
    <col min="11526" max="11530" width="17.7109375" style="822" customWidth="1"/>
    <col min="11531" max="11531" width="20.7109375" style="822" customWidth="1"/>
    <col min="11532" max="11532" width="20.7109375" style="822" bestFit="1" customWidth="1"/>
    <col min="11533" max="11533" width="0" style="822" hidden="1" customWidth="1"/>
    <col min="11534" max="11776" width="11.5703125" style="822"/>
    <col min="11777" max="11777" width="71" style="822" customWidth="1"/>
    <col min="11778" max="11778" width="27" style="822" customWidth="1"/>
    <col min="11779" max="11779" width="28.140625" style="822" customWidth="1"/>
    <col min="11780" max="11780" width="19.42578125" style="822" customWidth="1"/>
    <col min="11781" max="11781" width="16.7109375" style="822" customWidth="1"/>
    <col min="11782" max="11786" width="17.7109375" style="822" customWidth="1"/>
    <col min="11787" max="11787" width="20.7109375" style="822" customWidth="1"/>
    <col min="11788" max="11788" width="20.7109375" style="822" bestFit="1" customWidth="1"/>
    <col min="11789" max="11789" width="0" style="822" hidden="1" customWidth="1"/>
    <col min="11790" max="12032" width="11.5703125" style="822"/>
    <col min="12033" max="12033" width="71" style="822" customWidth="1"/>
    <col min="12034" max="12034" width="27" style="822" customWidth="1"/>
    <col min="12035" max="12035" width="28.140625" style="822" customWidth="1"/>
    <col min="12036" max="12036" width="19.42578125" style="822" customWidth="1"/>
    <col min="12037" max="12037" width="16.7109375" style="822" customWidth="1"/>
    <col min="12038" max="12042" width="17.7109375" style="822" customWidth="1"/>
    <col min="12043" max="12043" width="20.7109375" style="822" customWidth="1"/>
    <col min="12044" max="12044" width="20.7109375" style="822" bestFit="1" customWidth="1"/>
    <col min="12045" max="12045" width="0" style="822" hidden="1" customWidth="1"/>
    <col min="12046" max="12288" width="11.5703125" style="822"/>
    <col min="12289" max="12289" width="71" style="822" customWidth="1"/>
    <col min="12290" max="12290" width="27" style="822" customWidth="1"/>
    <col min="12291" max="12291" width="28.140625" style="822" customWidth="1"/>
    <col min="12292" max="12292" width="19.42578125" style="822" customWidth="1"/>
    <col min="12293" max="12293" width="16.7109375" style="822" customWidth="1"/>
    <col min="12294" max="12298" width="17.7109375" style="822" customWidth="1"/>
    <col min="12299" max="12299" width="20.7109375" style="822" customWidth="1"/>
    <col min="12300" max="12300" width="20.7109375" style="822" bestFit="1" customWidth="1"/>
    <col min="12301" max="12301" width="0" style="822" hidden="1" customWidth="1"/>
    <col min="12302" max="12544" width="11.5703125" style="822"/>
    <col min="12545" max="12545" width="71" style="822" customWidth="1"/>
    <col min="12546" max="12546" width="27" style="822" customWidth="1"/>
    <col min="12547" max="12547" width="28.140625" style="822" customWidth="1"/>
    <col min="12548" max="12548" width="19.42578125" style="822" customWidth="1"/>
    <col min="12549" max="12549" width="16.7109375" style="822" customWidth="1"/>
    <col min="12550" max="12554" width="17.7109375" style="822" customWidth="1"/>
    <col min="12555" max="12555" width="20.7109375" style="822" customWidth="1"/>
    <col min="12556" max="12556" width="20.7109375" style="822" bestFit="1" customWidth="1"/>
    <col min="12557" max="12557" width="0" style="822" hidden="1" customWidth="1"/>
    <col min="12558" max="12800" width="11.5703125" style="822"/>
    <col min="12801" max="12801" width="71" style="822" customWidth="1"/>
    <col min="12802" max="12802" width="27" style="822" customWidth="1"/>
    <col min="12803" max="12803" width="28.140625" style="822" customWidth="1"/>
    <col min="12804" max="12804" width="19.42578125" style="822" customWidth="1"/>
    <col min="12805" max="12805" width="16.7109375" style="822" customWidth="1"/>
    <col min="12806" max="12810" width="17.7109375" style="822" customWidth="1"/>
    <col min="12811" max="12811" width="20.7109375" style="822" customWidth="1"/>
    <col min="12812" max="12812" width="20.7109375" style="822" bestFit="1" customWidth="1"/>
    <col min="12813" max="12813" width="0" style="822" hidden="1" customWidth="1"/>
    <col min="12814" max="13056" width="11.5703125" style="822"/>
    <col min="13057" max="13057" width="71" style="822" customWidth="1"/>
    <col min="13058" max="13058" width="27" style="822" customWidth="1"/>
    <col min="13059" max="13059" width="28.140625" style="822" customWidth="1"/>
    <col min="13060" max="13060" width="19.42578125" style="822" customWidth="1"/>
    <col min="13061" max="13061" width="16.7109375" style="822" customWidth="1"/>
    <col min="13062" max="13066" width="17.7109375" style="822" customWidth="1"/>
    <col min="13067" max="13067" width="20.7109375" style="822" customWidth="1"/>
    <col min="13068" max="13068" width="20.7109375" style="822" bestFit="1" customWidth="1"/>
    <col min="13069" max="13069" width="0" style="822" hidden="1" customWidth="1"/>
    <col min="13070" max="13312" width="11.5703125" style="822"/>
    <col min="13313" max="13313" width="71" style="822" customWidth="1"/>
    <col min="13314" max="13314" width="27" style="822" customWidth="1"/>
    <col min="13315" max="13315" width="28.140625" style="822" customWidth="1"/>
    <col min="13316" max="13316" width="19.42578125" style="822" customWidth="1"/>
    <col min="13317" max="13317" width="16.7109375" style="822" customWidth="1"/>
    <col min="13318" max="13322" width="17.7109375" style="822" customWidth="1"/>
    <col min="13323" max="13323" width="20.7109375" style="822" customWidth="1"/>
    <col min="13324" max="13324" width="20.7109375" style="822" bestFit="1" customWidth="1"/>
    <col min="13325" max="13325" width="0" style="822" hidden="1" customWidth="1"/>
    <col min="13326" max="13568" width="11.5703125" style="822"/>
    <col min="13569" max="13569" width="71" style="822" customWidth="1"/>
    <col min="13570" max="13570" width="27" style="822" customWidth="1"/>
    <col min="13571" max="13571" width="28.140625" style="822" customWidth="1"/>
    <col min="13572" max="13572" width="19.42578125" style="822" customWidth="1"/>
    <col min="13573" max="13573" width="16.7109375" style="822" customWidth="1"/>
    <col min="13574" max="13578" width="17.7109375" style="822" customWidth="1"/>
    <col min="13579" max="13579" width="20.7109375" style="822" customWidth="1"/>
    <col min="13580" max="13580" width="20.7109375" style="822" bestFit="1" customWidth="1"/>
    <col min="13581" max="13581" width="0" style="822" hidden="1" customWidth="1"/>
    <col min="13582" max="13824" width="11.5703125" style="822"/>
    <col min="13825" max="13825" width="71" style="822" customWidth="1"/>
    <col min="13826" max="13826" width="27" style="822" customWidth="1"/>
    <col min="13827" max="13827" width="28.140625" style="822" customWidth="1"/>
    <col min="13828" max="13828" width="19.42578125" style="822" customWidth="1"/>
    <col min="13829" max="13829" width="16.7109375" style="822" customWidth="1"/>
    <col min="13830" max="13834" width="17.7109375" style="822" customWidth="1"/>
    <col min="13835" max="13835" width="20.7109375" style="822" customWidth="1"/>
    <col min="13836" max="13836" width="20.7109375" style="822" bestFit="1" customWidth="1"/>
    <col min="13837" max="13837" width="0" style="822" hidden="1" customWidth="1"/>
    <col min="13838" max="14080" width="11.5703125" style="822"/>
    <col min="14081" max="14081" width="71" style="822" customWidth="1"/>
    <col min="14082" max="14082" width="27" style="822" customWidth="1"/>
    <col min="14083" max="14083" width="28.140625" style="822" customWidth="1"/>
    <col min="14084" max="14084" width="19.42578125" style="822" customWidth="1"/>
    <col min="14085" max="14085" width="16.7109375" style="822" customWidth="1"/>
    <col min="14086" max="14090" width="17.7109375" style="822" customWidth="1"/>
    <col min="14091" max="14091" width="20.7109375" style="822" customWidth="1"/>
    <col min="14092" max="14092" width="20.7109375" style="822" bestFit="1" customWidth="1"/>
    <col min="14093" max="14093" width="0" style="822" hidden="1" customWidth="1"/>
    <col min="14094" max="14336" width="11.5703125" style="822"/>
    <col min="14337" max="14337" width="71" style="822" customWidth="1"/>
    <col min="14338" max="14338" width="27" style="822" customWidth="1"/>
    <col min="14339" max="14339" width="28.140625" style="822" customWidth="1"/>
    <col min="14340" max="14340" width="19.42578125" style="822" customWidth="1"/>
    <col min="14341" max="14341" width="16.7109375" style="822" customWidth="1"/>
    <col min="14342" max="14346" width="17.7109375" style="822" customWidth="1"/>
    <col min="14347" max="14347" width="20.7109375" style="822" customWidth="1"/>
    <col min="14348" max="14348" width="20.7109375" style="822" bestFit="1" customWidth="1"/>
    <col min="14349" max="14349" width="0" style="822" hidden="1" customWidth="1"/>
    <col min="14350" max="14592" width="11.5703125" style="822"/>
    <col min="14593" max="14593" width="71" style="822" customWidth="1"/>
    <col min="14594" max="14594" width="27" style="822" customWidth="1"/>
    <col min="14595" max="14595" width="28.140625" style="822" customWidth="1"/>
    <col min="14596" max="14596" width="19.42578125" style="822" customWidth="1"/>
    <col min="14597" max="14597" width="16.7109375" style="822" customWidth="1"/>
    <col min="14598" max="14602" width="17.7109375" style="822" customWidth="1"/>
    <col min="14603" max="14603" width="20.7109375" style="822" customWidth="1"/>
    <col min="14604" max="14604" width="20.7109375" style="822" bestFit="1" customWidth="1"/>
    <col min="14605" max="14605" width="0" style="822" hidden="1" customWidth="1"/>
    <col min="14606" max="14848" width="11.5703125" style="822"/>
    <col min="14849" max="14849" width="71" style="822" customWidth="1"/>
    <col min="14850" max="14850" width="27" style="822" customWidth="1"/>
    <col min="14851" max="14851" width="28.140625" style="822" customWidth="1"/>
    <col min="14852" max="14852" width="19.42578125" style="822" customWidth="1"/>
    <col min="14853" max="14853" width="16.7109375" style="822" customWidth="1"/>
    <col min="14854" max="14858" width="17.7109375" style="822" customWidth="1"/>
    <col min="14859" max="14859" width="20.7109375" style="822" customWidth="1"/>
    <col min="14860" max="14860" width="20.7109375" style="822" bestFit="1" customWidth="1"/>
    <col min="14861" max="14861" width="0" style="822" hidden="1" customWidth="1"/>
    <col min="14862" max="15104" width="11.5703125" style="822"/>
    <col min="15105" max="15105" width="71" style="822" customWidth="1"/>
    <col min="15106" max="15106" width="27" style="822" customWidth="1"/>
    <col min="15107" max="15107" width="28.140625" style="822" customWidth="1"/>
    <col min="15108" max="15108" width="19.42578125" style="822" customWidth="1"/>
    <col min="15109" max="15109" width="16.7109375" style="822" customWidth="1"/>
    <col min="15110" max="15114" width="17.7109375" style="822" customWidth="1"/>
    <col min="15115" max="15115" width="20.7109375" style="822" customWidth="1"/>
    <col min="15116" max="15116" width="20.7109375" style="822" bestFit="1" customWidth="1"/>
    <col min="15117" max="15117" width="0" style="822" hidden="1" customWidth="1"/>
    <col min="15118" max="15360" width="11.5703125" style="822"/>
    <col min="15361" max="15361" width="71" style="822" customWidth="1"/>
    <col min="15362" max="15362" width="27" style="822" customWidth="1"/>
    <col min="15363" max="15363" width="28.140625" style="822" customWidth="1"/>
    <col min="15364" max="15364" width="19.42578125" style="822" customWidth="1"/>
    <col min="15365" max="15365" width="16.7109375" style="822" customWidth="1"/>
    <col min="15366" max="15370" width="17.7109375" style="822" customWidth="1"/>
    <col min="15371" max="15371" width="20.7109375" style="822" customWidth="1"/>
    <col min="15372" max="15372" width="20.7109375" style="822" bestFit="1" customWidth="1"/>
    <col min="15373" max="15373" width="0" style="822" hidden="1" customWidth="1"/>
    <col min="15374" max="15616" width="11.5703125" style="822"/>
    <col min="15617" max="15617" width="71" style="822" customWidth="1"/>
    <col min="15618" max="15618" width="27" style="822" customWidth="1"/>
    <col min="15619" max="15619" width="28.140625" style="822" customWidth="1"/>
    <col min="15620" max="15620" width="19.42578125" style="822" customWidth="1"/>
    <col min="15621" max="15621" width="16.7109375" style="822" customWidth="1"/>
    <col min="15622" max="15626" width="17.7109375" style="822" customWidth="1"/>
    <col min="15627" max="15627" width="20.7109375" style="822" customWidth="1"/>
    <col min="15628" max="15628" width="20.7109375" style="822" bestFit="1" customWidth="1"/>
    <col min="15629" max="15629" width="0" style="822" hidden="1" customWidth="1"/>
    <col min="15630" max="15872" width="11.5703125" style="822"/>
    <col min="15873" max="15873" width="71" style="822" customWidth="1"/>
    <col min="15874" max="15874" width="27" style="822" customWidth="1"/>
    <col min="15875" max="15875" width="28.140625" style="822" customWidth="1"/>
    <col min="15876" max="15876" width="19.42578125" style="822" customWidth="1"/>
    <col min="15877" max="15877" width="16.7109375" style="822" customWidth="1"/>
    <col min="15878" max="15882" width="17.7109375" style="822" customWidth="1"/>
    <col min="15883" max="15883" width="20.7109375" style="822" customWidth="1"/>
    <col min="15884" max="15884" width="20.7109375" style="822" bestFit="1" customWidth="1"/>
    <col min="15885" max="15885" width="0" style="822" hidden="1" customWidth="1"/>
    <col min="15886" max="16128" width="11.5703125" style="822"/>
    <col min="16129" max="16129" width="71" style="822" customWidth="1"/>
    <col min="16130" max="16130" width="27" style="822" customWidth="1"/>
    <col min="16131" max="16131" width="28.140625" style="822" customWidth="1"/>
    <col min="16132" max="16132" width="19.42578125" style="822" customWidth="1"/>
    <col min="16133" max="16133" width="16.7109375" style="822" customWidth="1"/>
    <col min="16134" max="16138" width="17.7109375" style="822" customWidth="1"/>
    <col min="16139" max="16139" width="20.7109375" style="822" customWidth="1"/>
    <col min="16140" max="16140" width="20.7109375" style="822" bestFit="1" customWidth="1"/>
    <col min="16141" max="16141" width="0" style="822" hidden="1" customWidth="1"/>
    <col min="16142" max="16384" width="11.5703125" style="822"/>
  </cols>
  <sheetData>
    <row r="1" spans="1:13" s="804" customFormat="1">
      <c r="A1" s="802" t="s">
        <v>1343</v>
      </c>
      <c r="B1" s="803"/>
      <c r="D1" s="805"/>
      <c r="L1" s="806"/>
    </row>
    <row r="2" spans="1:13" s="804" customFormat="1">
      <c r="A2" s="807" t="s">
        <v>235</v>
      </c>
      <c r="B2" s="808"/>
      <c r="C2" s="809"/>
      <c r="D2" s="810"/>
      <c r="E2" s="809"/>
      <c r="F2" s="809"/>
      <c r="G2" s="809"/>
      <c r="H2" s="809"/>
      <c r="I2" s="809"/>
      <c r="J2" s="809"/>
      <c r="K2" s="809"/>
      <c r="L2" s="811" t="s">
        <v>234</v>
      </c>
    </row>
    <row r="3" spans="1:13" s="804" customFormat="1">
      <c r="A3" s="802" t="s">
        <v>1344</v>
      </c>
      <c r="B3" s="803"/>
      <c r="C3" s="809"/>
      <c r="D3" s="810"/>
      <c r="E3" s="809"/>
      <c r="F3" s="809"/>
      <c r="G3" s="809"/>
      <c r="H3" s="809"/>
      <c r="I3" s="809"/>
      <c r="J3" s="809"/>
      <c r="K3" s="809"/>
      <c r="L3" s="809"/>
    </row>
    <row r="4" spans="1:13" s="804" customFormat="1">
      <c r="A4" s="807" t="s">
        <v>232</v>
      </c>
      <c r="B4" s="808"/>
      <c r="C4" s="809"/>
      <c r="D4" s="810"/>
      <c r="E4" s="809"/>
      <c r="F4" s="809"/>
      <c r="G4" s="809"/>
      <c r="H4" s="809"/>
      <c r="I4" s="809"/>
      <c r="J4" s="809"/>
      <c r="K4" s="809"/>
      <c r="L4" s="809"/>
    </row>
    <row r="5" spans="1:13" s="804" customFormat="1">
      <c r="A5" s="803" t="s">
        <v>1345</v>
      </c>
      <c r="B5" s="805"/>
      <c r="D5" s="805"/>
    </row>
    <row r="6" spans="1:13" s="804" customFormat="1">
      <c r="A6" s="812" t="s">
        <v>228</v>
      </c>
      <c r="B6" s="812"/>
      <c r="C6" s="812"/>
      <c r="D6" s="812"/>
      <c r="E6" s="812"/>
      <c r="F6" s="813"/>
      <c r="G6" s="813"/>
      <c r="H6" s="812"/>
      <c r="I6" s="1461"/>
      <c r="J6" s="1461"/>
      <c r="K6" s="812"/>
      <c r="L6" s="812"/>
    </row>
    <row r="7" spans="1:13" s="814" customFormat="1">
      <c r="A7" s="1462" t="s">
        <v>220</v>
      </c>
      <c r="B7" s="1458" t="s">
        <v>1346</v>
      </c>
      <c r="C7" s="1458" t="s">
        <v>219</v>
      </c>
      <c r="D7" s="1458" t="s">
        <v>218</v>
      </c>
      <c r="E7" s="1458" t="s">
        <v>217</v>
      </c>
      <c r="F7" s="1463" t="s">
        <v>216</v>
      </c>
      <c r="G7" s="1464"/>
      <c r="H7" s="1458" t="s">
        <v>215</v>
      </c>
      <c r="I7" s="1463" t="s">
        <v>214</v>
      </c>
      <c r="J7" s="1464"/>
      <c r="K7" s="1458" t="s">
        <v>240</v>
      </c>
      <c r="L7" s="1459" t="s">
        <v>1347</v>
      </c>
      <c r="M7" s="1460" t="s">
        <v>1348</v>
      </c>
    </row>
    <row r="8" spans="1:13" s="814" customFormat="1">
      <c r="A8" s="1462"/>
      <c r="B8" s="1458"/>
      <c r="C8" s="1458"/>
      <c r="D8" s="1458"/>
      <c r="E8" s="1458"/>
      <c r="F8" s="815" t="s">
        <v>211</v>
      </c>
      <c r="G8" s="816" t="s">
        <v>210</v>
      </c>
      <c r="H8" s="1458"/>
      <c r="I8" s="815" t="s">
        <v>211</v>
      </c>
      <c r="J8" s="816" t="s">
        <v>210</v>
      </c>
      <c r="K8" s="1458"/>
      <c r="L8" s="1459"/>
      <c r="M8" s="1460"/>
    </row>
    <row r="9" spans="1:13" ht="15.95" customHeight="1">
      <c r="A9" s="817" t="s">
        <v>208</v>
      </c>
      <c r="B9" s="818"/>
      <c r="C9" s="819"/>
      <c r="D9" s="819"/>
      <c r="E9" s="819"/>
      <c r="F9" s="819"/>
      <c r="G9" s="819"/>
      <c r="H9" s="819"/>
      <c r="I9" s="819"/>
      <c r="J9" s="819"/>
      <c r="K9" s="819"/>
      <c r="L9" s="820">
        <v>0</v>
      </c>
      <c r="M9" s="821"/>
    </row>
    <row r="10" spans="1:13" ht="15.95" customHeight="1">
      <c r="A10" s="823" t="s">
        <v>478</v>
      </c>
      <c r="B10" s="824"/>
      <c r="C10" s="825"/>
      <c r="D10" s="825"/>
      <c r="E10" s="826"/>
      <c r="F10" s="826"/>
      <c r="G10" s="826"/>
      <c r="H10" s="825"/>
      <c r="I10" s="825"/>
      <c r="J10" s="825"/>
      <c r="K10" s="825"/>
      <c r="L10" s="827"/>
      <c r="M10" s="828"/>
    </row>
    <row r="11" spans="1:13" ht="15.95" customHeight="1">
      <c r="A11" s="817" t="s">
        <v>207</v>
      </c>
      <c r="B11" s="818"/>
      <c r="C11" s="819"/>
      <c r="D11" s="819"/>
      <c r="E11" s="829"/>
      <c r="F11" s="829"/>
      <c r="G11" s="829"/>
      <c r="H11" s="819"/>
      <c r="I11" s="819"/>
      <c r="J11" s="819"/>
      <c r="K11" s="819"/>
      <c r="L11" s="830">
        <f>SUM(L12:L16)</f>
        <v>24786416.109999996</v>
      </c>
      <c r="M11" s="828"/>
    </row>
    <row r="12" spans="1:13" ht="15.95" customHeight="1">
      <c r="A12" s="831" t="s">
        <v>347</v>
      </c>
      <c r="B12" s="832">
        <v>10900000</v>
      </c>
      <c r="C12" s="833" t="s">
        <v>987</v>
      </c>
      <c r="D12" s="833" t="s">
        <v>367</v>
      </c>
      <c r="E12" s="833"/>
      <c r="F12" s="834"/>
      <c r="G12" s="834"/>
      <c r="H12" s="835"/>
      <c r="I12" s="836">
        <v>1077.7</v>
      </c>
      <c r="J12" s="836">
        <v>3755.93</v>
      </c>
      <c r="K12" s="837" t="s">
        <v>1349</v>
      </c>
      <c r="L12" s="838">
        <v>11396031.18</v>
      </c>
      <c r="M12" s="828"/>
    </row>
    <row r="13" spans="1:13" ht="15.95" customHeight="1">
      <c r="A13" s="831" t="s">
        <v>1350</v>
      </c>
      <c r="B13" s="832">
        <v>7150000</v>
      </c>
      <c r="C13" s="833" t="s">
        <v>1351</v>
      </c>
      <c r="D13" s="833" t="s">
        <v>345</v>
      </c>
      <c r="E13" s="839"/>
      <c r="F13" s="840">
        <v>0.15</v>
      </c>
      <c r="G13" s="841">
        <v>0.18</v>
      </c>
      <c r="H13" s="842"/>
      <c r="I13" s="825"/>
      <c r="J13" s="825"/>
      <c r="K13" s="837" t="s">
        <v>1349</v>
      </c>
      <c r="L13" s="838">
        <v>5016481.0599999996</v>
      </c>
      <c r="M13" s="828"/>
    </row>
    <row r="14" spans="1:13" ht="15.95" customHeight="1">
      <c r="A14" s="831" t="s">
        <v>1352</v>
      </c>
      <c r="B14" s="832">
        <v>4950000</v>
      </c>
      <c r="C14" s="833" t="s">
        <v>420</v>
      </c>
      <c r="D14" s="833" t="s">
        <v>345</v>
      </c>
      <c r="E14" s="843">
        <v>1.4999999999999999E-2</v>
      </c>
      <c r="F14" s="844">
        <v>2.5000000000000001E-3</v>
      </c>
      <c r="G14" s="844">
        <v>0.05</v>
      </c>
      <c r="H14" s="834"/>
      <c r="I14" s="825"/>
      <c r="J14" s="825"/>
      <c r="K14" s="837" t="s">
        <v>1349</v>
      </c>
      <c r="L14" s="838">
        <v>4702592.63</v>
      </c>
      <c r="M14" s="828"/>
    </row>
    <row r="15" spans="1:13" ht="15.95" customHeight="1">
      <c r="A15" s="831" t="s">
        <v>1353</v>
      </c>
      <c r="B15" s="832">
        <v>4205000</v>
      </c>
      <c r="C15" s="833" t="s">
        <v>1351</v>
      </c>
      <c r="D15" s="833" t="s">
        <v>345</v>
      </c>
      <c r="E15" s="845">
        <v>8.6956000000000006E-2</v>
      </c>
      <c r="F15" s="826"/>
      <c r="G15" s="294"/>
      <c r="H15" s="825"/>
      <c r="I15" s="825"/>
      <c r="J15" s="825"/>
      <c r="K15" s="837" t="s">
        <v>1349</v>
      </c>
      <c r="L15" s="838">
        <v>2158993.2200000002</v>
      </c>
      <c r="M15" s="821"/>
    </row>
    <row r="16" spans="1:13" ht="15.95" customHeight="1">
      <c r="A16" s="846" t="s">
        <v>1354</v>
      </c>
      <c r="B16" s="832">
        <v>660000</v>
      </c>
      <c r="C16" s="833" t="s">
        <v>1355</v>
      </c>
      <c r="D16" s="833" t="s">
        <v>1356</v>
      </c>
      <c r="E16" s="833"/>
      <c r="F16" s="826"/>
      <c r="G16" s="826"/>
      <c r="H16" s="847">
        <v>960</v>
      </c>
      <c r="I16" s="825"/>
      <c r="J16" s="825"/>
      <c r="K16" s="837" t="s">
        <v>1349</v>
      </c>
      <c r="L16" s="838">
        <v>1512318.02</v>
      </c>
      <c r="M16" s="848"/>
    </row>
    <row r="17" spans="1:13" ht="15.95" customHeight="1">
      <c r="A17" s="849"/>
      <c r="B17" s="850"/>
      <c r="C17" s="825"/>
      <c r="D17" s="825"/>
      <c r="E17" s="826"/>
      <c r="F17" s="826"/>
      <c r="G17" s="826"/>
      <c r="H17" s="825"/>
      <c r="I17" s="825"/>
      <c r="J17" s="825"/>
      <c r="K17" s="825"/>
      <c r="L17" s="851"/>
      <c r="M17" s="852"/>
    </row>
    <row r="18" spans="1:13" ht="15.95" customHeight="1">
      <c r="A18" s="849"/>
      <c r="B18" s="850"/>
      <c r="C18" s="825"/>
      <c r="D18" s="825"/>
      <c r="E18" s="826"/>
      <c r="F18" s="826"/>
      <c r="G18" s="826"/>
      <c r="H18" s="825"/>
      <c r="I18" s="825"/>
      <c r="J18" s="825"/>
      <c r="K18" s="825"/>
      <c r="L18" s="851"/>
      <c r="M18" s="852"/>
    </row>
    <row r="19" spans="1:13" ht="15.95" customHeight="1">
      <c r="A19" s="849"/>
      <c r="B19" s="850"/>
      <c r="C19" s="825"/>
      <c r="D19" s="825"/>
      <c r="E19" s="826"/>
      <c r="F19" s="826"/>
      <c r="G19" s="826"/>
      <c r="H19" s="825"/>
      <c r="I19" s="825"/>
      <c r="J19" s="825"/>
      <c r="K19" s="825"/>
      <c r="L19" s="851"/>
      <c r="M19" s="852"/>
    </row>
    <row r="20" spans="1:13" ht="15.95" customHeight="1">
      <c r="A20" s="849"/>
      <c r="B20" s="850"/>
      <c r="C20" s="825"/>
      <c r="D20" s="825"/>
      <c r="E20" s="826"/>
      <c r="F20" s="826"/>
      <c r="G20" s="826"/>
      <c r="H20" s="825"/>
      <c r="I20" s="825"/>
      <c r="J20" s="825"/>
      <c r="K20" s="825"/>
      <c r="L20" s="851"/>
      <c r="M20" s="853"/>
    </row>
    <row r="21" spans="1:13" ht="15.95" customHeight="1">
      <c r="A21" s="849"/>
      <c r="B21" s="850"/>
      <c r="C21" s="825"/>
      <c r="D21" s="825"/>
      <c r="E21" s="826"/>
      <c r="F21" s="826"/>
      <c r="G21" s="826"/>
      <c r="H21" s="825"/>
      <c r="I21" s="825"/>
      <c r="J21" s="825"/>
      <c r="K21" s="825"/>
      <c r="L21" s="851"/>
    </row>
    <row r="22" spans="1:13" ht="15.95" customHeight="1">
      <c r="A22" s="104" t="s">
        <v>191</v>
      </c>
      <c r="B22" s="854"/>
      <c r="C22" s="102"/>
      <c r="D22" s="102"/>
      <c r="E22" s="103"/>
      <c r="F22" s="103"/>
      <c r="G22" s="103"/>
      <c r="H22" s="102"/>
      <c r="I22" s="102"/>
      <c r="J22" s="102"/>
      <c r="K22" s="102"/>
      <c r="L22" s="855">
        <f>SUM(L23:L29)</f>
        <v>3337582.71</v>
      </c>
      <c r="M22" s="828"/>
    </row>
    <row r="23" spans="1:13" ht="15.95" customHeight="1">
      <c r="A23" s="856" t="s">
        <v>1357</v>
      </c>
      <c r="B23" s="857">
        <v>2840000</v>
      </c>
      <c r="C23" s="110" t="s">
        <v>1358</v>
      </c>
      <c r="D23" s="110" t="s">
        <v>345</v>
      </c>
      <c r="E23" s="858"/>
      <c r="F23" s="858"/>
      <c r="G23" s="858"/>
      <c r="H23" s="859"/>
      <c r="I23" s="859"/>
      <c r="J23" s="859"/>
      <c r="K23" s="837" t="s">
        <v>1359</v>
      </c>
      <c r="L23" s="860">
        <v>9131.4699999999993</v>
      </c>
      <c r="M23" s="828"/>
    </row>
    <row r="24" spans="1:13" ht="15.95" customHeight="1">
      <c r="A24" s="856"/>
      <c r="B24" s="857"/>
      <c r="C24" s="110"/>
      <c r="D24" s="110"/>
      <c r="E24" s="858"/>
      <c r="F24" s="858"/>
      <c r="G24" s="858"/>
      <c r="H24" s="859"/>
      <c r="I24" s="859"/>
      <c r="J24" s="859"/>
      <c r="K24" s="837" t="s">
        <v>1360</v>
      </c>
      <c r="L24" s="860">
        <v>224098.32</v>
      </c>
      <c r="M24" s="828"/>
    </row>
    <row r="25" spans="1:13" ht="15.95" customHeight="1">
      <c r="A25" s="856"/>
      <c r="B25" s="857"/>
      <c r="C25" s="110"/>
      <c r="D25" s="110"/>
      <c r="E25" s="858"/>
      <c r="F25" s="858"/>
      <c r="G25" s="858"/>
      <c r="H25" s="859"/>
      <c r="I25" s="859"/>
      <c r="J25" s="859"/>
      <c r="K25" s="837" t="s">
        <v>1361</v>
      </c>
      <c r="L25" s="860">
        <v>1175.1600000000001</v>
      </c>
      <c r="M25" s="828"/>
    </row>
    <row r="26" spans="1:13" ht="15.95" customHeight="1">
      <c r="A26" s="856"/>
      <c r="B26" s="857"/>
      <c r="C26" s="110"/>
      <c r="D26" s="110"/>
      <c r="E26" s="858"/>
      <c r="F26" s="858"/>
      <c r="G26" s="858"/>
      <c r="H26" s="859"/>
      <c r="I26" s="859"/>
      <c r="J26" s="859"/>
      <c r="K26" s="837" t="s">
        <v>1362</v>
      </c>
      <c r="L26" s="860">
        <v>136282.85999999999</v>
      </c>
      <c r="M26" s="828"/>
    </row>
    <row r="27" spans="1:13" ht="15.95" customHeight="1">
      <c r="A27" s="856"/>
      <c r="B27" s="857"/>
      <c r="C27" s="110"/>
      <c r="D27" s="110"/>
      <c r="E27" s="858"/>
      <c r="F27" s="858"/>
      <c r="G27" s="858"/>
      <c r="H27" s="859"/>
      <c r="I27" s="859"/>
      <c r="J27" s="859"/>
      <c r="K27" s="837" t="s">
        <v>1363</v>
      </c>
      <c r="L27" s="860">
        <v>948357.9</v>
      </c>
      <c r="M27" s="828"/>
    </row>
    <row r="28" spans="1:13" ht="15.95" customHeight="1">
      <c r="A28" s="856"/>
      <c r="B28" s="857"/>
      <c r="C28" s="110"/>
      <c r="D28" s="110"/>
      <c r="E28" s="858"/>
      <c r="F28" s="858"/>
      <c r="G28" s="858"/>
      <c r="H28" s="859"/>
      <c r="I28" s="859"/>
      <c r="J28" s="859"/>
      <c r="K28" s="837" t="s">
        <v>1364</v>
      </c>
      <c r="L28" s="860">
        <v>792366.88</v>
      </c>
      <c r="M28" s="828"/>
    </row>
    <row r="29" spans="1:13" ht="15.95" customHeight="1">
      <c r="A29" s="856"/>
      <c r="B29" s="857"/>
      <c r="C29" s="110"/>
      <c r="D29" s="110"/>
      <c r="E29" s="858"/>
      <c r="F29" s="858"/>
      <c r="G29" s="858"/>
      <c r="H29" s="859"/>
      <c r="I29" s="859"/>
      <c r="J29" s="859"/>
      <c r="K29" s="837" t="s">
        <v>1365</v>
      </c>
      <c r="L29" s="860">
        <v>1226170.1200000001</v>
      </c>
      <c r="M29" s="828"/>
    </row>
    <row r="30" spans="1:13" ht="15.95" customHeight="1">
      <c r="A30" s="849"/>
      <c r="B30" s="850"/>
      <c r="C30" s="859"/>
      <c r="D30" s="859"/>
      <c r="E30" s="858"/>
      <c r="F30" s="858"/>
      <c r="G30" s="858"/>
      <c r="H30" s="859"/>
      <c r="I30" s="859"/>
      <c r="J30" s="859"/>
      <c r="K30" s="859"/>
      <c r="L30" s="860"/>
      <c r="M30" s="828"/>
    </row>
    <row r="31" spans="1:13" s="804" customFormat="1" ht="15.95" customHeight="1">
      <c r="A31" s="817" t="s">
        <v>179</v>
      </c>
      <c r="B31" s="818"/>
      <c r="C31" s="819"/>
      <c r="D31" s="819"/>
      <c r="E31" s="829"/>
      <c r="F31" s="829"/>
      <c r="G31" s="829"/>
      <c r="H31" s="819"/>
      <c r="I31" s="819"/>
      <c r="J31" s="819"/>
      <c r="K31" s="819"/>
      <c r="L31" s="855">
        <f>+L32+L33</f>
        <v>1833684.49</v>
      </c>
      <c r="M31" s="861"/>
    </row>
    <row r="32" spans="1:13" s="864" customFormat="1" ht="15.95" customHeight="1">
      <c r="A32" s="846" t="s">
        <v>172</v>
      </c>
      <c r="B32" s="832">
        <v>1960000</v>
      </c>
      <c r="C32" s="825"/>
      <c r="D32" s="825"/>
      <c r="E32" s="826"/>
      <c r="F32" s="826"/>
      <c r="G32" s="826"/>
      <c r="H32" s="862">
        <v>300</v>
      </c>
      <c r="I32" s="862">
        <v>300</v>
      </c>
      <c r="J32" s="862">
        <v>750</v>
      </c>
      <c r="K32" s="837" t="s">
        <v>1349</v>
      </c>
      <c r="L32" s="860">
        <v>1338374.8</v>
      </c>
      <c r="M32" s="863"/>
    </row>
    <row r="33" spans="1:13" s="864" customFormat="1" ht="15.95" customHeight="1">
      <c r="A33" s="846" t="s">
        <v>1366</v>
      </c>
      <c r="B33" s="832">
        <v>960000</v>
      </c>
      <c r="C33" s="865" t="s">
        <v>1367</v>
      </c>
      <c r="D33" s="866">
        <v>5.0000000000000001E-3</v>
      </c>
      <c r="E33" s="826"/>
      <c r="F33" s="826"/>
      <c r="G33" s="826"/>
      <c r="H33" s="825"/>
      <c r="I33" s="825"/>
      <c r="J33" s="825"/>
      <c r="K33" s="837" t="s">
        <v>1349</v>
      </c>
      <c r="L33" s="860">
        <v>495309.69</v>
      </c>
      <c r="M33" s="863"/>
    </row>
    <row r="34" spans="1:13" s="864" customFormat="1" ht="15.95" customHeight="1">
      <c r="A34" s="849"/>
      <c r="B34" s="850"/>
      <c r="C34" s="825"/>
      <c r="D34" s="825"/>
      <c r="E34" s="826"/>
      <c r="F34" s="826"/>
      <c r="G34" s="826"/>
      <c r="H34" s="825"/>
      <c r="I34" s="825"/>
      <c r="J34" s="825"/>
      <c r="K34" s="825"/>
      <c r="L34" s="867"/>
      <c r="M34" s="863"/>
    </row>
    <row r="35" spans="1:13" s="864" customFormat="1" ht="15.95" customHeight="1">
      <c r="A35" s="849"/>
      <c r="B35" s="850"/>
      <c r="C35" s="825"/>
      <c r="D35" s="825"/>
      <c r="E35" s="826"/>
      <c r="F35" s="826"/>
      <c r="G35" s="826"/>
      <c r="H35" s="825"/>
      <c r="I35" s="825"/>
      <c r="J35" s="825"/>
      <c r="K35" s="825"/>
      <c r="L35" s="867"/>
      <c r="M35" s="863"/>
    </row>
    <row r="36" spans="1:13" s="864" customFormat="1" ht="15.95" customHeight="1">
      <c r="A36" s="849"/>
      <c r="B36" s="850"/>
      <c r="C36" s="825"/>
      <c r="D36" s="825"/>
      <c r="E36" s="826"/>
      <c r="F36" s="826"/>
      <c r="G36" s="826"/>
      <c r="H36" s="825"/>
      <c r="I36" s="825"/>
      <c r="J36" s="825"/>
      <c r="K36" s="825"/>
      <c r="L36" s="868"/>
      <c r="M36" s="863"/>
    </row>
    <row r="37" spans="1:13" s="804" customFormat="1" ht="15.95" customHeight="1">
      <c r="A37" s="849"/>
      <c r="B37" s="850"/>
      <c r="C37" s="825"/>
      <c r="D37" s="825"/>
      <c r="E37" s="826"/>
      <c r="F37" s="826"/>
      <c r="G37" s="826"/>
      <c r="H37" s="825"/>
      <c r="I37" s="825"/>
      <c r="J37" s="825"/>
      <c r="K37" s="825"/>
      <c r="L37" s="851"/>
      <c r="M37" s="863"/>
    </row>
    <row r="38" spans="1:13" s="804" customFormat="1" ht="15.95" customHeight="1">
      <c r="A38" s="849"/>
      <c r="B38" s="850"/>
      <c r="C38" s="825"/>
      <c r="D38" s="825"/>
      <c r="E38" s="826"/>
      <c r="F38" s="826"/>
      <c r="G38" s="826"/>
      <c r="H38" s="825"/>
      <c r="I38" s="825"/>
      <c r="J38" s="825"/>
      <c r="K38" s="825"/>
      <c r="L38" s="851"/>
      <c r="M38" s="869"/>
    </row>
    <row r="39" spans="1:13" ht="15.95" customHeight="1">
      <c r="A39" s="817" t="s">
        <v>152</v>
      </c>
      <c r="B39" s="818"/>
      <c r="C39" s="819"/>
      <c r="D39" s="819"/>
      <c r="E39" s="829"/>
      <c r="F39" s="829"/>
      <c r="G39" s="829"/>
      <c r="H39" s="819"/>
      <c r="I39" s="819"/>
      <c r="J39" s="819"/>
      <c r="K39" s="819"/>
      <c r="L39" s="870">
        <v>0</v>
      </c>
      <c r="M39" s="821"/>
    </row>
    <row r="40" spans="1:13" ht="15.95" customHeight="1">
      <c r="A40" s="871"/>
      <c r="B40" s="872"/>
      <c r="C40" s="825"/>
      <c r="D40" s="825"/>
      <c r="E40" s="826"/>
      <c r="F40" s="826"/>
      <c r="G40" s="826"/>
      <c r="H40" s="825"/>
      <c r="I40" s="825"/>
      <c r="J40" s="825"/>
      <c r="K40" s="873"/>
      <c r="L40" s="851"/>
      <c r="M40" s="853"/>
    </row>
    <row r="41" spans="1:13" ht="15.95" customHeight="1">
      <c r="A41" s="871"/>
      <c r="B41" s="872"/>
      <c r="C41" s="825"/>
      <c r="D41" s="825"/>
      <c r="E41" s="826"/>
      <c r="F41" s="826"/>
      <c r="G41" s="826"/>
      <c r="H41" s="825"/>
      <c r="I41" s="825"/>
      <c r="J41" s="825"/>
      <c r="K41" s="873"/>
      <c r="L41" s="851"/>
      <c r="M41" s="853"/>
    </row>
    <row r="42" spans="1:13" ht="15.95" customHeight="1">
      <c r="A42" s="871"/>
      <c r="B42" s="872"/>
      <c r="C42" s="825"/>
      <c r="D42" s="825"/>
      <c r="E42" s="826"/>
      <c r="F42" s="826"/>
      <c r="G42" s="826"/>
      <c r="H42" s="825"/>
      <c r="I42" s="825"/>
      <c r="J42" s="825"/>
      <c r="K42" s="873"/>
      <c r="L42" s="851"/>
      <c r="M42" s="874"/>
    </row>
    <row r="43" spans="1:13" ht="15.95" customHeight="1">
      <c r="A43" s="817" t="s">
        <v>151</v>
      </c>
      <c r="B43" s="818"/>
      <c r="C43" s="819"/>
      <c r="D43" s="819"/>
      <c r="E43" s="829"/>
      <c r="F43" s="829"/>
      <c r="G43" s="829"/>
      <c r="H43" s="819"/>
      <c r="I43" s="819"/>
      <c r="J43" s="819"/>
      <c r="K43" s="875"/>
      <c r="L43" s="876">
        <f>+L44</f>
        <v>2271620.0299999998</v>
      </c>
      <c r="M43" s="874"/>
    </row>
    <row r="44" spans="1:13" ht="15.95" customHeight="1">
      <c r="A44" s="823" t="s">
        <v>1368</v>
      </c>
      <c r="B44" s="824">
        <v>2570000</v>
      </c>
      <c r="C44" s="825"/>
      <c r="D44" s="825"/>
      <c r="E44" s="826"/>
      <c r="F44" s="826"/>
      <c r="G44" s="826"/>
      <c r="H44" s="825"/>
      <c r="I44" s="825"/>
      <c r="J44" s="825"/>
      <c r="K44" s="877" t="s">
        <v>1369</v>
      </c>
      <c r="L44" s="851">
        <v>2271620.0299999998</v>
      </c>
      <c r="M44" s="874"/>
    </row>
    <row r="45" spans="1:13" ht="15.95" customHeight="1">
      <c r="A45" s="871"/>
      <c r="B45" s="872"/>
      <c r="C45" s="825"/>
      <c r="D45" s="825"/>
      <c r="E45" s="826"/>
      <c r="F45" s="826"/>
      <c r="G45" s="826"/>
      <c r="H45" s="825"/>
      <c r="I45" s="825"/>
      <c r="J45" s="825"/>
      <c r="K45" s="873"/>
      <c r="L45" s="851"/>
      <c r="M45" s="878"/>
    </row>
    <row r="46" spans="1:13" s="879" customFormat="1" ht="15.95" customHeight="1">
      <c r="A46" s="871"/>
      <c r="B46" s="872"/>
      <c r="C46" s="825"/>
      <c r="D46" s="825"/>
      <c r="E46" s="826"/>
      <c r="F46" s="826"/>
      <c r="G46" s="826"/>
      <c r="H46" s="825"/>
      <c r="I46" s="825"/>
      <c r="J46" s="825"/>
      <c r="K46" s="873"/>
      <c r="L46" s="851"/>
      <c r="M46" s="874"/>
    </row>
    <row r="47" spans="1:13" s="879" customFormat="1" ht="15.95" customHeight="1">
      <c r="A47" s="104" t="s">
        <v>137</v>
      </c>
      <c r="B47" s="854"/>
      <c r="C47" s="102"/>
      <c r="D47" s="102"/>
      <c r="E47" s="103"/>
      <c r="F47" s="103"/>
      <c r="G47" s="103"/>
      <c r="H47" s="102"/>
      <c r="I47" s="102"/>
      <c r="J47" s="102"/>
      <c r="K47" s="880"/>
      <c r="L47" s="881"/>
      <c r="M47" s="874"/>
    </row>
    <row r="48" spans="1:13" s="879" customFormat="1" ht="15.95" customHeight="1">
      <c r="A48" s="104"/>
      <c r="B48" s="854"/>
      <c r="C48" s="102"/>
      <c r="D48" s="102"/>
      <c r="E48" s="103"/>
      <c r="F48" s="103"/>
      <c r="G48" s="103"/>
      <c r="H48" s="102"/>
      <c r="I48" s="102"/>
      <c r="J48" s="102"/>
      <c r="K48" s="880"/>
      <c r="L48" s="882"/>
      <c r="M48" s="874"/>
    </row>
    <row r="49" spans="1:13" ht="15.95" customHeight="1">
      <c r="A49" s="823" t="s">
        <v>478</v>
      </c>
      <c r="B49" s="883"/>
      <c r="C49" s="859"/>
      <c r="D49" s="859"/>
      <c r="E49" s="858"/>
      <c r="F49" s="858"/>
      <c r="G49" s="858"/>
      <c r="H49" s="859"/>
      <c r="I49" s="859"/>
      <c r="J49" s="859"/>
      <c r="K49" s="884"/>
      <c r="L49" s="882"/>
      <c r="M49" s="874"/>
    </row>
    <row r="50" spans="1:13" ht="15.95" customHeight="1">
      <c r="A50" s="817" t="s">
        <v>136</v>
      </c>
      <c r="B50" s="818"/>
      <c r="C50" s="819"/>
      <c r="D50" s="819"/>
      <c r="E50" s="829"/>
      <c r="F50" s="829"/>
      <c r="G50" s="829"/>
      <c r="H50" s="819"/>
      <c r="I50" s="819"/>
      <c r="J50" s="819"/>
      <c r="K50" s="875"/>
      <c r="L50" s="851"/>
      <c r="M50" s="874"/>
    </row>
    <row r="51" spans="1:13" ht="15.95" customHeight="1">
      <c r="A51" s="823" t="s">
        <v>478</v>
      </c>
      <c r="B51" s="872"/>
      <c r="C51" s="825"/>
      <c r="D51" s="825"/>
      <c r="E51" s="826"/>
      <c r="F51" s="826"/>
      <c r="G51" s="826"/>
      <c r="H51" s="825"/>
      <c r="I51" s="825"/>
      <c r="J51" s="825"/>
      <c r="K51" s="873"/>
      <c r="L51" s="851"/>
      <c r="M51" s="874"/>
    </row>
    <row r="52" spans="1:13" ht="15.95" customHeight="1">
      <c r="A52" s="885" t="s">
        <v>108</v>
      </c>
      <c r="B52" s="886"/>
      <c r="C52" s="887"/>
      <c r="D52" s="887"/>
      <c r="E52" s="888"/>
      <c r="F52" s="888"/>
      <c r="G52" s="888"/>
      <c r="H52" s="887"/>
      <c r="I52" s="887"/>
      <c r="J52" s="887"/>
      <c r="K52" s="889"/>
      <c r="L52" s="890">
        <f>+L43+L39+L31+L22+L11+L9</f>
        <v>32229303.339999996</v>
      </c>
      <c r="M52" s="878"/>
    </row>
    <row r="55" spans="1:13" ht="15.75">
      <c r="A55" s="891"/>
    </row>
    <row r="56" spans="1:13" ht="15.75">
      <c r="A56" s="894"/>
    </row>
    <row r="57" spans="1:13" ht="15.75">
      <c r="A57" s="894"/>
    </row>
    <row r="58" spans="1:13" ht="15.75">
      <c r="A58" s="894"/>
    </row>
  </sheetData>
  <mergeCells count="12">
    <mergeCell ref="K7:K8"/>
    <mergeCell ref="L7:L8"/>
    <mergeCell ref="M7:M8"/>
    <mergeCell ref="I6:J6"/>
    <mergeCell ref="A7:A8"/>
    <mergeCell ref="B7:B8"/>
    <mergeCell ref="C7:C8"/>
    <mergeCell ref="D7:D8"/>
    <mergeCell ref="E7:E8"/>
    <mergeCell ref="F7:G7"/>
    <mergeCell ref="H7:H8"/>
    <mergeCell ref="I7:J7"/>
  </mergeCells>
  <pageMargins left="0.22" right="0.16" top="0.18" bottom="0.16" header="0.31496062992125984" footer="0.31496062992125984"/>
  <pageSetup paperSize="5" scale="5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K66"/>
  <sheetViews>
    <sheetView showGridLines="0" zoomScaleNormal="100" workbookViewId="0"/>
  </sheetViews>
  <sheetFormatPr baseColWidth="10" defaultRowHeight="15"/>
  <cols>
    <col min="1" max="1" width="45.42578125" customWidth="1"/>
    <col min="2" max="2" width="40.28515625" customWidth="1"/>
    <col min="3" max="6" width="17.7109375" customWidth="1"/>
    <col min="7" max="7" width="19.42578125" customWidth="1"/>
    <col min="8" max="8" width="17.7109375" customWidth="1"/>
    <col min="9" max="9" width="13.140625" customWidth="1"/>
    <col min="10" max="10" width="53.5703125" bestFit="1" customWidth="1"/>
    <col min="11" max="11" width="17.7109375" style="239" customWidth="1"/>
    <col min="257" max="257" width="45.42578125" customWidth="1"/>
    <col min="258" max="258" width="40.28515625" customWidth="1"/>
    <col min="259" max="262" width="17.7109375" customWidth="1"/>
    <col min="263" max="263" width="19.42578125" customWidth="1"/>
    <col min="264" max="264" width="17.7109375" customWidth="1"/>
    <col min="265" max="265" width="13.140625" customWidth="1"/>
    <col min="266" max="266" width="53.5703125" bestFit="1" customWidth="1"/>
    <col min="267" max="267" width="17.7109375" customWidth="1"/>
    <col min="513" max="513" width="45.42578125" customWidth="1"/>
    <col min="514" max="514" width="40.28515625" customWidth="1"/>
    <col min="515" max="518" width="17.7109375" customWidth="1"/>
    <col min="519" max="519" width="19.42578125" customWidth="1"/>
    <col min="520" max="520" width="17.7109375" customWidth="1"/>
    <col min="521" max="521" width="13.140625" customWidth="1"/>
    <col min="522" max="522" width="53.5703125" bestFit="1" customWidth="1"/>
    <col min="523" max="523" width="17.7109375" customWidth="1"/>
    <col min="769" max="769" width="45.42578125" customWidth="1"/>
    <col min="770" max="770" width="40.28515625" customWidth="1"/>
    <col min="771" max="774" width="17.7109375" customWidth="1"/>
    <col min="775" max="775" width="19.42578125" customWidth="1"/>
    <col min="776" max="776" width="17.7109375" customWidth="1"/>
    <col min="777" max="777" width="13.140625" customWidth="1"/>
    <col min="778" max="778" width="53.5703125" bestFit="1" customWidth="1"/>
    <col min="779" max="779" width="17.7109375" customWidth="1"/>
    <col min="1025" max="1025" width="45.42578125" customWidth="1"/>
    <col min="1026" max="1026" width="40.28515625" customWidth="1"/>
    <col min="1027" max="1030" width="17.7109375" customWidth="1"/>
    <col min="1031" max="1031" width="19.42578125" customWidth="1"/>
    <col min="1032" max="1032" width="17.7109375" customWidth="1"/>
    <col min="1033" max="1033" width="13.140625" customWidth="1"/>
    <col min="1034" max="1034" width="53.5703125" bestFit="1" customWidth="1"/>
    <col min="1035" max="1035" width="17.7109375" customWidth="1"/>
    <col min="1281" max="1281" width="45.42578125" customWidth="1"/>
    <col min="1282" max="1282" width="40.28515625" customWidth="1"/>
    <col min="1283" max="1286" width="17.7109375" customWidth="1"/>
    <col min="1287" max="1287" width="19.42578125" customWidth="1"/>
    <col min="1288" max="1288" width="17.7109375" customWidth="1"/>
    <col min="1289" max="1289" width="13.140625" customWidth="1"/>
    <col min="1290" max="1290" width="53.5703125" bestFit="1" customWidth="1"/>
    <col min="1291" max="1291" width="17.7109375" customWidth="1"/>
    <col min="1537" max="1537" width="45.42578125" customWidth="1"/>
    <col min="1538" max="1538" width="40.28515625" customWidth="1"/>
    <col min="1539" max="1542" width="17.7109375" customWidth="1"/>
    <col min="1543" max="1543" width="19.42578125" customWidth="1"/>
    <col min="1544" max="1544" width="17.7109375" customWidth="1"/>
    <col min="1545" max="1545" width="13.140625" customWidth="1"/>
    <col min="1546" max="1546" width="53.5703125" bestFit="1" customWidth="1"/>
    <col min="1547" max="1547" width="17.7109375" customWidth="1"/>
    <col min="1793" max="1793" width="45.42578125" customWidth="1"/>
    <col min="1794" max="1794" width="40.28515625" customWidth="1"/>
    <col min="1795" max="1798" width="17.7109375" customWidth="1"/>
    <col min="1799" max="1799" width="19.42578125" customWidth="1"/>
    <col min="1800" max="1800" width="17.7109375" customWidth="1"/>
    <col min="1801" max="1801" width="13.140625" customWidth="1"/>
    <col min="1802" max="1802" width="53.5703125" bestFit="1" customWidth="1"/>
    <col min="1803" max="1803" width="17.7109375" customWidth="1"/>
    <col min="2049" max="2049" width="45.42578125" customWidth="1"/>
    <col min="2050" max="2050" width="40.28515625" customWidth="1"/>
    <col min="2051" max="2054" width="17.7109375" customWidth="1"/>
    <col min="2055" max="2055" width="19.42578125" customWidth="1"/>
    <col min="2056" max="2056" width="17.7109375" customWidth="1"/>
    <col min="2057" max="2057" width="13.140625" customWidth="1"/>
    <col min="2058" max="2058" width="53.5703125" bestFit="1" customWidth="1"/>
    <col min="2059" max="2059" width="17.7109375" customWidth="1"/>
    <col min="2305" max="2305" width="45.42578125" customWidth="1"/>
    <col min="2306" max="2306" width="40.28515625" customWidth="1"/>
    <col min="2307" max="2310" width="17.7109375" customWidth="1"/>
    <col min="2311" max="2311" width="19.42578125" customWidth="1"/>
    <col min="2312" max="2312" width="17.7109375" customWidth="1"/>
    <col min="2313" max="2313" width="13.140625" customWidth="1"/>
    <col min="2314" max="2314" width="53.5703125" bestFit="1" customWidth="1"/>
    <col min="2315" max="2315" width="17.7109375" customWidth="1"/>
    <col min="2561" max="2561" width="45.42578125" customWidth="1"/>
    <col min="2562" max="2562" width="40.28515625" customWidth="1"/>
    <col min="2563" max="2566" width="17.7109375" customWidth="1"/>
    <col min="2567" max="2567" width="19.42578125" customWidth="1"/>
    <col min="2568" max="2568" width="17.7109375" customWidth="1"/>
    <col min="2569" max="2569" width="13.140625" customWidth="1"/>
    <col min="2570" max="2570" width="53.5703125" bestFit="1" customWidth="1"/>
    <col min="2571" max="2571" width="17.7109375" customWidth="1"/>
    <col min="2817" max="2817" width="45.42578125" customWidth="1"/>
    <col min="2818" max="2818" width="40.28515625" customWidth="1"/>
    <col min="2819" max="2822" width="17.7109375" customWidth="1"/>
    <col min="2823" max="2823" width="19.42578125" customWidth="1"/>
    <col min="2824" max="2824" width="17.7109375" customWidth="1"/>
    <col min="2825" max="2825" width="13.140625" customWidth="1"/>
    <col min="2826" max="2826" width="53.5703125" bestFit="1" customWidth="1"/>
    <col min="2827" max="2827" width="17.7109375" customWidth="1"/>
    <col min="3073" max="3073" width="45.42578125" customWidth="1"/>
    <col min="3074" max="3074" width="40.28515625" customWidth="1"/>
    <col min="3075" max="3078" width="17.7109375" customWidth="1"/>
    <col min="3079" max="3079" width="19.42578125" customWidth="1"/>
    <col min="3080" max="3080" width="17.7109375" customWidth="1"/>
    <col min="3081" max="3081" width="13.140625" customWidth="1"/>
    <col min="3082" max="3082" width="53.5703125" bestFit="1" customWidth="1"/>
    <col min="3083" max="3083" width="17.7109375" customWidth="1"/>
    <col min="3329" max="3329" width="45.42578125" customWidth="1"/>
    <col min="3330" max="3330" width="40.28515625" customWidth="1"/>
    <col min="3331" max="3334" width="17.7109375" customWidth="1"/>
    <col min="3335" max="3335" width="19.42578125" customWidth="1"/>
    <col min="3336" max="3336" width="17.7109375" customWidth="1"/>
    <col min="3337" max="3337" width="13.140625" customWidth="1"/>
    <col min="3338" max="3338" width="53.5703125" bestFit="1" customWidth="1"/>
    <col min="3339" max="3339" width="17.7109375" customWidth="1"/>
    <col min="3585" max="3585" width="45.42578125" customWidth="1"/>
    <col min="3586" max="3586" width="40.28515625" customWidth="1"/>
    <col min="3587" max="3590" width="17.7109375" customWidth="1"/>
    <col min="3591" max="3591" width="19.42578125" customWidth="1"/>
    <col min="3592" max="3592" width="17.7109375" customWidth="1"/>
    <col min="3593" max="3593" width="13.140625" customWidth="1"/>
    <col min="3594" max="3594" width="53.5703125" bestFit="1" customWidth="1"/>
    <col min="3595" max="3595" width="17.7109375" customWidth="1"/>
    <col min="3841" max="3841" width="45.42578125" customWidth="1"/>
    <col min="3842" max="3842" width="40.28515625" customWidth="1"/>
    <col min="3843" max="3846" width="17.7109375" customWidth="1"/>
    <col min="3847" max="3847" width="19.42578125" customWidth="1"/>
    <col min="3848" max="3848" width="17.7109375" customWidth="1"/>
    <col min="3849" max="3849" width="13.140625" customWidth="1"/>
    <col min="3850" max="3850" width="53.5703125" bestFit="1" customWidth="1"/>
    <col min="3851" max="3851" width="17.7109375" customWidth="1"/>
    <col min="4097" max="4097" width="45.42578125" customWidth="1"/>
    <col min="4098" max="4098" width="40.28515625" customWidth="1"/>
    <col min="4099" max="4102" width="17.7109375" customWidth="1"/>
    <col min="4103" max="4103" width="19.42578125" customWidth="1"/>
    <col min="4104" max="4104" width="17.7109375" customWidth="1"/>
    <col min="4105" max="4105" width="13.140625" customWidth="1"/>
    <col min="4106" max="4106" width="53.5703125" bestFit="1" customWidth="1"/>
    <col min="4107" max="4107" width="17.7109375" customWidth="1"/>
    <col min="4353" max="4353" width="45.42578125" customWidth="1"/>
    <col min="4354" max="4354" width="40.28515625" customWidth="1"/>
    <col min="4355" max="4358" width="17.7109375" customWidth="1"/>
    <col min="4359" max="4359" width="19.42578125" customWidth="1"/>
    <col min="4360" max="4360" width="17.7109375" customWidth="1"/>
    <col min="4361" max="4361" width="13.140625" customWidth="1"/>
    <col min="4362" max="4362" width="53.5703125" bestFit="1" customWidth="1"/>
    <col min="4363" max="4363" width="17.7109375" customWidth="1"/>
    <col min="4609" max="4609" width="45.42578125" customWidth="1"/>
    <col min="4610" max="4610" width="40.28515625" customWidth="1"/>
    <col min="4611" max="4614" width="17.7109375" customWidth="1"/>
    <col min="4615" max="4615" width="19.42578125" customWidth="1"/>
    <col min="4616" max="4616" width="17.7109375" customWidth="1"/>
    <col min="4617" max="4617" width="13.140625" customWidth="1"/>
    <col min="4618" max="4618" width="53.5703125" bestFit="1" customWidth="1"/>
    <col min="4619" max="4619" width="17.7109375" customWidth="1"/>
    <col min="4865" max="4865" width="45.42578125" customWidth="1"/>
    <col min="4866" max="4866" width="40.28515625" customWidth="1"/>
    <col min="4867" max="4870" width="17.7109375" customWidth="1"/>
    <col min="4871" max="4871" width="19.42578125" customWidth="1"/>
    <col min="4872" max="4872" width="17.7109375" customWidth="1"/>
    <col min="4873" max="4873" width="13.140625" customWidth="1"/>
    <col min="4874" max="4874" width="53.5703125" bestFit="1" customWidth="1"/>
    <col min="4875" max="4875" width="17.7109375" customWidth="1"/>
    <col min="5121" max="5121" width="45.42578125" customWidth="1"/>
    <col min="5122" max="5122" width="40.28515625" customWidth="1"/>
    <col min="5123" max="5126" width="17.7109375" customWidth="1"/>
    <col min="5127" max="5127" width="19.42578125" customWidth="1"/>
    <col min="5128" max="5128" width="17.7109375" customWidth="1"/>
    <col min="5129" max="5129" width="13.140625" customWidth="1"/>
    <col min="5130" max="5130" width="53.5703125" bestFit="1" customWidth="1"/>
    <col min="5131" max="5131" width="17.7109375" customWidth="1"/>
    <col min="5377" max="5377" width="45.42578125" customWidth="1"/>
    <col min="5378" max="5378" width="40.28515625" customWidth="1"/>
    <col min="5379" max="5382" width="17.7109375" customWidth="1"/>
    <col min="5383" max="5383" width="19.42578125" customWidth="1"/>
    <col min="5384" max="5384" width="17.7109375" customWidth="1"/>
    <col min="5385" max="5385" width="13.140625" customWidth="1"/>
    <col min="5386" max="5386" width="53.5703125" bestFit="1" customWidth="1"/>
    <col min="5387" max="5387" width="17.7109375" customWidth="1"/>
    <col min="5633" max="5633" width="45.42578125" customWidth="1"/>
    <col min="5634" max="5634" width="40.28515625" customWidth="1"/>
    <col min="5635" max="5638" width="17.7109375" customWidth="1"/>
    <col min="5639" max="5639" width="19.42578125" customWidth="1"/>
    <col min="5640" max="5640" width="17.7109375" customWidth="1"/>
    <col min="5641" max="5641" width="13.140625" customWidth="1"/>
    <col min="5642" max="5642" width="53.5703125" bestFit="1" customWidth="1"/>
    <col min="5643" max="5643" width="17.7109375" customWidth="1"/>
    <col min="5889" max="5889" width="45.42578125" customWidth="1"/>
    <col min="5890" max="5890" width="40.28515625" customWidth="1"/>
    <col min="5891" max="5894" width="17.7109375" customWidth="1"/>
    <col min="5895" max="5895" width="19.42578125" customWidth="1"/>
    <col min="5896" max="5896" width="17.7109375" customWidth="1"/>
    <col min="5897" max="5897" width="13.140625" customWidth="1"/>
    <col min="5898" max="5898" width="53.5703125" bestFit="1" customWidth="1"/>
    <col min="5899" max="5899" width="17.7109375" customWidth="1"/>
    <col min="6145" max="6145" width="45.42578125" customWidth="1"/>
    <col min="6146" max="6146" width="40.28515625" customWidth="1"/>
    <col min="6147" max="6150" width="17.7109375" customWidth="1"/>
    <col min="6151" max="6151" width="19.42578125" customWidth="1"/>
    <col min="6152" max="6152" width="17.7109375" customWidth="1"/>
    <col min="6153" max="6153" width="13.140625" customWidth="1"/>
    <col min="6154" max="6154" width="53.5703125" bestFit="1" customWidth="1"/>
    <col min="6155" max="6155" width="17.7109375" customWidth="1"/>
    <col min="6401" max="6401" width="45.42578125" customWidth="1"/>
    <col min="6402" max="6402" width="40.28515625" customWidth="1"/>
    <col min="6403" max="6406" width="17.7109375" customWidth="1"/>
    <col min="6407" max="6407" width="19.42578125" customWidth="1"/>
    <col min="6408" max="6408" width="17.7109375" customWidth="1"/>
    <col min="6409" max="6409" width="13.140625" customWidth="1"/>
    <col min="6410" max="6410" width="53.5703125" bestFit="1" customWidth="1"/>
    <col min="6411" max="6411" width="17.7109375" customWidth="1"/>
    <col min="6657" max="6657" width="45.42578125" customWidth="1"/>
    <col min="6658" max="6658" width="40.28515625" customWidth="1"/>
    <col min="6659" max="6662" width="17.7109375" customWidth="1"/>
    <col min="6663" max="6663" width="19.42578125" customWidth="1"/>
    <col min="6664" max="6664" width="17.7109375" customWidth="1"/>
    <col min="6665" max="6665" width="13.140625" customWidth="1"/>
    <col min="6666" max="6666" width="53.5703125" bestFit="1" customWidth="1"/>
    <col min="6667" max="6667" width="17.7109375" customWidth="1"/>
    <col min="6913" max="6913" width="45.42578125" customWidth="1"/>
    <col min="6914" max="6914" width="40.28515625" customWidth="1"/>
    <col min="6915" max="6918" width="17.7109375" customWidth="1"/>
    <col min="6919" max="6919" width="19.42578125" customWidth="1"/>
    <col min="6920" max="6920" width="17.7109375" customWidth="1"/>
    <col min="6921" max="6921" width="13.140625" customWidth="1"/>
    <col min="6922" max="6922" width="53.5703125" bestFit="1" customWidth="1"/>
    <col min="6923" max="6923" width="17.7109375" customWidth="1"/>
    <col min="7169" max="7169" width="45.42578125" customWidth="1"/>
    <col min="7170" max="7170" width="40.28515625" customWidth="1"/>
    <col min="7171" max="7174" width="17.7109375" customWidth="1"/>
    <col min="7175" max="7175" width="19.42578125" customWidth="1"/>
    <col min="7176" max="7176" width="17.7109375" customWidth="1"/>
    <col min="7177" max="7177" width="13.140625" customWidth="1"/>
    <col min="7178" max="7178" width="53.5703125" bestFit="1" customWidth="1"/>
    <col min="7179" max="7179" width="17.7109375" customWidth="1"/>
    <col min="7425" max="7425" width="45.42578125" customWidth="1"/>
    <col min="7426" max="7426" width="40.28515625" customWidth="1"/>
    <col min="7427" max="7430" width="17.7109375" customWidth="1"/>
    <col min="7431" max="7431" width="19.42578125" customWidth="1"/>
    <col min="7432" max="7432" width="17.7109375" customWidth="1"/>
    <col min="7433" max="7433" width="13.140625" customWidth="1"/>
    <col min="7434" max="7434" width="53.5703125" bestFit="1" customWidth="1"/>
    <col min="7435" max="7435" width="17.7109375" customWidth="1"/>
    <col min="7681" max="7681" width="45.42578125" customWidth="1"/>
    <col min="7682" max="7682" width="40.28515625" customWidth="1"/>
    <col min="7683" max="7686" width="17.7109375" customWidth="1"/>
    <col min="7687" max="7687" width="19.42578125" customWidth="1"/>
    <col min="7688" max="7688" width="17.7109375" customWidth="1"/>
    <col min="7689" max="7689" width="13.140625" customWidth="1"/>
    <col min="7690" max="7690" width="53.5703125" bestFit="1" customWidth="1"/>
    <col min="7691" max="7691" width="17.7109375" customWidth="1"/>
    <col min="7937" max="7937" width="45.42578125" customWidth="1"/>
    <col min="7938" max="7938" width="40.28515625" customWidth="1"/>
    <col min="7939" max="7942" width="17.7109375" customWidth="1"/>
    <col min="7943" max="7943" width="19.42578125" customWidth="1"/>
    <col min="7944" max="7944" width="17.7109375" customWidth="1"/>
    <col min="7945" max="7945" width="13.140625" customWidth="1"/>
    <col min="7946" max="7946" width="53.5703125" bestFit="1" customWidth="1"/>
    <col min="7947" max="7947" width="17.7109375" customWidth="1"/>
    <col min="8193" max="8193" width="45.42578125" customWidth="1"/>
    <col min="8194" max="8194" width="40.28515625" customWidth="1"/>
    <col min="8195" max="8198" width="17.7109375" customWidth="1"/>
    <col min="8199" max="8199" width="19.42578125" customWidth="1"/>
    <col min="8200" max="8200" width="17.7109375" customWidth="1"/>
    <col min="8201" max="8201" width="13.140625" customWidth="1"/>
    <col min="8202" max="8202" width="53.5703125" bestFit="1" customWidth="1"/>
    <col min="8203" max="8203" width="17.7109375" customWidth="1"/>
    <col min="8449" max="8449" width="45.42578125" customWidth="1"/>
    <col min="8450" max="8450" width="40.28515625" customWidth="1"/>
    <col min="8451" max="8454" width="17.7109375" customWidth="1"/>
    <col min="8455" max="8455" width="19.42578125" customWidth="1"/>
    <col min="8456" max="8456" width="17.7109375" customWidth="1"/>
    <col min="8457" max="8457" width="13.140625" customWidth="1"/>
    <col min="8458" max="8458" width="53.5703125" bestFit="1" customWidth="1"/>
    <col min="8459" max="8459" width="17.7109375" customWidth="1"/>
    <col min="8705" max="8705" width="45.42578125" customWidth="1"/>
    <col min="8706" max="8706" width="40.28515625" customWidth="1"/>
    <col min="8707" max="8710" width="17.7109375" customWidth="1"/>
    <col min="8711" max="8711" width="19.42578125" customWidth="1"/>
    <col min="8712" max="8712" width="17.7109375" customWidth="1"/>
    <col min="8713" max="8713" width="13.140625" customWidth="1"/>
    <col min="8714" max="8714" width="53.5703125" bestFit="1" customWidth="1"/>
    <col min="8715" max="8715" width="17.7109375" customWidth="1"/>
    <col min="8961" max="8961" width="45.42578125" customWidth="1"/>
    <col min="8962" max="8962" width="40.28515625" customWidth="1"/>
    <col min="8963" max="8966" width="17.7109375" customWidth="1"/>
    <col min="8967" max="8967" width="19.42578125" customWidth="1"/>
    <col min="8968" max="8968" width="17.7109375" customWidth="1"/>
    <col min="8969" max="8969" width="13.140625" customWidth="1"/>
    <col min="8970" max="8970" width="53.5703125" bestFit="1" customWidth="1"/>
    <col min="8971" max="8971" width="17.7109375" customWidth="1"/>
    <col min="9217" max="9217" width="45.42578125" customWidth="1"/>
    <col min="9218" max="9218" width="40.28515625" customWidth="1"/>
    <col min="9219" max="9222" width="17.7109375" customWidth="1"/>
    <col min="9223" max="9223" width="19.42578125" customWidth="1"/>
    <col min="9224" max="9224" width="17.7109375" customWidth="1"/>
    <col min="9225" max="9225" width="13.140625" customWidth="1"/>
    <col min="9226" max="9226" width="53.5703125" bestFit="1" customWidth="1"/>
    <col min="9227" max="9227" width="17.7109375" customWidth="1"/>
    <col min="9473" max="9473" width="45.42578125" customWidth="1"/>
    <col min="9474" max="9474" width="40.28515625" customWidth="1"/>
    <col min="9475" max="9478" width="17.7109375" customWidth="1"/>
    <col min="9479" max="9479" width="19.42578125" customWidth="1"/>
    <col min="9480" max="9480" width="17.7109375" customWidth="1"/>
    <col min="9481" max="9481" width="13.140625" customWidth="1"/>
    <col min="9482" max="9482" width="53.5703125" bestFit="1" customWidth="1"/>
    <col min="9483" max="9483" width="17.7109375" customWidth="1"/>
    <col min="9729" max="9729" width="45.42578125" customWidth="1"/>
    <col min="9730" max="9730" width="40.28515625" customWidth="1"/>
    <col min="9731" max="9734" width="17.7109375" customWidth="1"/>
    <col min="9735" max="9735" width="19.42578125" customWidth="1"/>
    <col min="9736" max="9736" width="17.7109375" customWidth="1"/>
    <col min="9737" max="9737" width="13.140625" customWidth="1"/>
    <col min="9738" max="9738" width="53.5703125" bestFit="1" customWidth="1"/>
    <col min="9739" max="9739" width="17.7109375" customWidth="1"/>
    <col min="9985" max="9985" width="45.42578125" customWidth="1"/>
    <col min="9986" max="9986" width="40.28515625" customWidth="1"/>
    <col min="9987" max="9990" width="17.7109375" customWidth="1"/>
    <col min="9991" max="9991" width="19.42578125" customWidth="1"/>
    <col min="9992" max="9992" width="17.7109375" customWidth="1"/>
    <col min="9993" max="9993" width="13.140625" customWidth="1"/>
    <col min="9994" max="9994" width="53.5703125" bestFit="1" customWidth="1"/>
    <col min="9995" max="9995" width="17.7109375" customWidth="1"/>
    <col min="10241" max="10241" width="45.42578125" customWidth="1"/>
    <col min="10242" max="10242" width="40.28515625" customWidth="1"/>
    <col min="10243" max="10246" width="17.7109375" customWidth="1"/>
    <col min="10247" max="10247" width="19.42578125" customWidth="1"/>
    <col min="10248" max="10248" width="17.7109375" customWidth="1"/>
    <col min="10249" max="10249" width="13.140625" customWidth="1"/>
    <col min="10250" max="10250" width="53.5703125" bestFit="1" customWidth="1"/>
    <col min="10251" max="10251" width="17.7109375" customWidth="1"/>
    <col min="10497" max="10497" width="45.42578125" customWidth="1"/>
    <col min="10498" max="10498" width="40.28515625" customWidth="1"/>
    <col min="10499" max="10502" width="17.7109375" customWidth="1"/>
    <col min="10503" max="10503" width="19.42578125" customWidth="1"/>
    <col min="10504" max="10504" width="17.7109375" customWidth="1"/>
    <col min="10505" max="10505" width="13.140625" customWidth="1"/>
    <col min="10506" max="10506" width="53.5703125" bestFit="1" customWidth="1"/>
    <col min="10507" max="10507" width="17.7109375" customWidth="1"/>
    <col min="10753" max="10753" width="45.42578125" customWidth="1"/>
    <col min="10754" max="10754" width="40.28515625" customWidth="1"/>
    <col min="10755" max="10758" width="17.7109375" customWidth="1"/>
    <col min="10759" max="10759" width="19.42578125" customWidth="1"/>
    <col min="10760" max="10760" width="17.7109375" customWidth="1"/>
    <col min="10761" max="10761" width="13.140625" customWidth="1"/>
    <col min="10762" max="10762" width="53.5703125" bestFit="1" customWidth="1"/>
    <col min="10763" max="10763" width="17.7109375" customWidth="1"/>
    <col min="11009" max="11009" width="45.42578125" customWidth="1"/>
    <col min="11010" max="11010" width="40.28515625" customWidth="1"/>
    <col min="11011" max="11014" width="17.7109375" customWidth="1"/>
    <col min="11015" max="11015" width="19.42578125" customWidth="1"/>
    <col min="11016" max="11016" width="17.7109375" customWidth="1"/>
    <col min="11017" max="11017" width="13.140625" customWidth="1"/>
    <col min="11018" max="11018" width="53.5703125" bestFit="1" customWidth="1"/>
    <col min="11019" max="11019" width="17.7109375" customWidth="1"/>
    <col min="11265" max="11265" width="45.42578125" customWidth="1"/>
    <col min="11266" max="11266" width="40.28515625" customWidth="1"/>
    <col min="11267" max="11270" width="17.7109375" customWidth="1"/>
    <col min="11271" max="11271" width="19.42578125" customWidth="1"/>
    <col min="11272" max="11272" width="17.7109375" customWidth="1"/>
    <col min="11273" max="11273" width="13.140625" customWidth="1"/>
    <col min="11274" max="11274" width="53.5703125" bestFit="1" customWidth="1"/>
    <col min="11275" max="11275" width="17.7109375" customWidth="1"/>
    <col min="11521" max="11521" width="45.42578125" customWidth="1"/>
    <col min="11522" max="11522" width="40.28515625" customWidth="1"/>
    <col min="11523" max="11526" width="17.7109375" customWidth="1"/>
    <col min="11527" max="11527" width="19.42578125" customWidth="1"/>
    <col min="11528" max="11528" width="17.7109375" customWidth="1"/>
    <col min="11529" max="11529" width="13.140625" customWidth="1"/>
    <col min="11530" max="11530" width="53.5703125" bestFit="1" customWidth="1"/>
    <col min="11531" max="11531" width="17.7109375" customWidth="1"/>
    <col min="11777" max="11777" width="45.42578125" customWidth="1"/>
    <col min="11778" max="11778" width="40.28515625" customWidth="1"/>
    <col min="11779" max="11782" width="17.7109375" customWidth="1"/>
    <col min="11783" max="11783" width="19.42578125" customWidth="1"/>
    <col min="11784" max="11784" width="17.7109375" customWidth="1"/>
    <col min="11785" max="11785" width="13.140625" customWidth="1"/>
    <col min="11786" max="11786" width="53.5703125" bestFit="1" customWidth="1"/>
    <col min="11787" max="11787" width="17.7109375" customWidth="1"/>
    <col min="12033" max="12033" width="45.42578125" customWidth="1"/>
    <col min="12034" max="12034" width="40.28515625" customWidth="1"/>
    <col min="12035" max="12038" width="17.7109375" customWidth="1"/>
    <col min="12039" max="12039" width="19.42578125" customWidth="1"/>
    <col min="12040" max="12040" width="17.7109375" customWidth="1"/>
    <col min="12041" max="12041" width="13.140625" customWidth="1"/>
    <col min="12042" max="12042" width="53.5703125" bestFit="1" customWidth="1"/>
    <col min="12043" max="12043" width="17.7109375" customWidth="1"/>
    <col min="12289" max="12289" width="45.42578125" customWidth="1"/>
    <col min="12290" max="12290" width="40.28515625" customWidth="1"/>
    <col min="12291" max="12294" width="17.7109375" customWidth="1"/>
    <col min="12295" max="12295" width="19.42578125" customWidth="1"/>
    <col min="12296" max="12296" width="17.7109375" customWidth="1"/>
    <col min="12297" max="12297" width="13.140625" customWidth="1"/>
    <col min="12298" max="12298" width="53.5703125" bestFit="1" customWidth="1"/>
    <col min="12299" max="12299" width="17.7109375" customWidth="1"/>
    <col min="12545" max="12545" width="45.42578125" customWidth="1"/>
    <col min="12546" max="12546" width="40.28515625" customWidth="1"/>
    <col min="12547" max="12550" width="17.7109375" customWidth="1"/>
    <col min="12551" max="12551" width="19.42578125" customWidth="1"/>
    <col min="12552" max="12552" width="17.7109375" customWidth="1"/>
    <col min="12553" max="12553" width="13.140625" customWidth="1"/>
    <col min="12554" max="12554" width="53.5703125" bestFit="1" customWidth="1"/>
    <col min="12555" max="12555" width="17.7109375" customWidth="1"/>
    <col min="12801" max="12801" width="45.42578125" customWidth="1"/>
    <col min="12802" max="12802" width="40.28515625" customWidth="1"/>
    <col min="12803" max="12806" width="17.7109375" customWidth="1"/>
    <col min="12807" max="12807" width="19.42578125" customWidth="1"/>
    <col min="12808" max="12808" width="17.7109375" customWidth="1"/>
    <col min="12809" max="12809" width="13.140625" customWidth="1"/>
    <col min="12810" max="12810" width="53.5703125" bestFit="1" customWidth="1"/>
    <col min="12811" max="12811" width="17.7109375" customWidth="1"/>
    <col min="13057" max="13057" width="45.42578125" customWidth="1"/>
    <col min="13058" max="13058" width="40.28515625" customWidth="1"/>
    <col min="13059" max="13062" width="17.7109375" customWidth="1"/>
    <col min="13063" max="13063" width="19.42578125" customWidth="1"/>
    <col min="13064" max="13064" width="17.7109375" customWidth="1"/>
    <col min="13065" max="13065" width="13.140625" customWidth="1"/>
    <col min="13066" max="13066" width="53.5703125" bestFit="1" customWidth="1"/>
    <col min="13067" max="13067" width="17.7109375" customWidth="1"/>
    <col min="13313" max="13313" width="45.42578125" customWidth="1"/>
    <col min="13314" max="13314" width="40.28515625" customWidth="1"/>
    <col min="13315" max="13318" width="17.7109375" customWidth="1"/>
    <col min="13319" max="13319" width="19.42578125" customWidth="1"/>
    <col min="13320" max="13320" width="17.7109375" customWidth="1"/>
    <col min="13321" max="13321" width="13.140625" customWidth="1"/>
    <col min="13322" max="13322" width="53.5703125" bestFit="1" customWidth="1"/>
    <col min="13323" max="13323" width="17.7109375" customWidth="1"/>
    <col min="13569" max="13569" width="45.42578125" customWidth="1"/>
    <col min="13570" max="13570" width="40.28515625" customWidth="1"/>
    <col min="13571" max="13574" width="17.7109375" customWidth="1"/>
    <col min="13575" max="13575" width="19.42578125" customWidth="1"/>
    <col min="13576" max="13576" width="17.7109375" customWidth="1"/>
    <col min="13577" max="13577" width="13.140625" customWidth="1"/>
    <col min="13578" max="13578" width="53.5703125" bestFit="1" customWidth="1"/>
    <col min="13579" max="13579" width="17.7109375" customWidth="1"/>
    <col min="13825" max="13825" width="45.42578125" customWidth="1"/>
    <col min="13826" max="13826" width="40.28515625" customWidth="1"/>
    <col min="13827" max="13830" width="17.7109375" customWidth="1"/>
    <col min="13831" max="13831" width="19.42578125" customWidth="1"/>
    <col min="13832" max="13832" width="17.7109375" customWidth="1"/>
    <col min="13833" max="13833" width="13.140625" customWidth="1"/>
    <col min="13834" max="13834" width="53.5703125" bestFit="1" customWidth="1"/>
    <col min="13835" max="13835" width="17.7109375" customWidth="1"/>
    <col min="14081" max="14081" width="45.42578125" customWidth="1"/>
    <col min="14082" max="14082" width="40.28515625" customWidth="1"/>
    <col min="14083" max="14086" width="17.7109375" customWidth="1"/>
    <col min="14087" max="14087" width="19.42578125" customWidth="1"/>
    <col min="14088" max="14088" width="17.7109375" customWidth="1"/>
    <col min="14089" max="14089" width="13.140625" customWidth="1"/>
    <col min="14090" max="14090" width="53.5703125" bestFit="1" customWidth="1"/>
    <col min="14091" max="14091" width="17.7109375" customWidth="1"/>
    <col min="14337" max="14337" width="45.42578125" customWidth="1"/>
    <col min="14338" max="14338" width="40.28515625" customWidth="1"/>
    <col min="14339" max="14342" width="17.7109375" customWidth="1"/>
    <col min="14343" max="14343" width="19.42578125" customWidth="1"/>
    <col min="14344" max="14344" width="17.7109375" customWidth="1"/>
    <col min="14345" max="14345" width="13.140625" customWidth="1"/>
    <col min="14346" max="14346" width="53.5703125" bestFit="1" customWidth="1"/>
    <col min="14347" max="14347" width="17.7109375" customWidth="1"/>
    <col min="14593" max="14593" width="45.42578125" customWidth="1"/>
    <col min="14594" max="14594" width="40.28515625" customWidth="1"/>
    <col min="14595" max="14598" width="17.7109375" customWidth="1"/>
    <col min="14599" max="14599" width="19.42578125" customWidth="1"/>
    <col min="14600" max="14600" width="17.7109375" customWidth="1"/>
    <col min="14601" max="14601" width="13.140625" customWidth="1"/>
    <col min="14602" max="14602" width="53.5703125" bestFit="1" customWidth="1"/>
    <col min="14603" max="14603" width="17.7109375" customWidth="1"/>
    <col min="14849" max="14849" width="45.42578125" customWidth="1"/>
    <col min="14850" max="14850" width="40.28515625" customWidth="1"/>
    <col min="14851" max="14854" width="17.7109375" customWidth="1"/>
    <col min="14855" max="14855" width="19.42578125" customWidth="1"/>
    <col min="14856" max="14856" width="17.7109375" customWidth="1"/>
    <col min="14857" max="14857" width="13.140625" customWidth="1"/>
    <col min="14858" max="14858" width="53.5703125" bestFit="1" customWidth="1"/>
    <col min="14859" max="14859" width="17.7109375" customWidth="1"/>
    <col min="15105" max="15105" width="45.42578125" customWidth="1"/>
    <col min="15106" max="15106" width="40.28515625" customWidth="1"/>
    <col min="15107" max="15110" width="17.7109375" customWidth="1"/>
    <col min="15111" max="15111" width="19.42578125" customWidth="1"/>
    <col min="15112" max="15112" width="17.7109375" customWidth="1"/>
    <col min="15113" max="15113" width="13.140625" customWidth="1"/>
    <col min="15114" max="15114" width="53.5703125" bestFit="1" customWidth="1"/>
    <col min="15115" max="15115" width="17.7109375" customWidth="1"/>
    <col min="15361" max="15361" width="45.42578125" customWidth="1"/>
    <col min="15362" max="15362" width="40.28515625" customWidth="1"/>
    <col min="15363" max="15366" width="17.7109375" customWidth="1"/>
    <col min="15367" max="15367" width="19.42578125" customWidth="1"/>
    <col min="15368" max="15368" width="17.7109375" customWidth="1"/>
    <col min="15369" max="15369" width="13.140625" customWidth="1"/>
    <col min="15370" max="15370" width="53.5703125" bestFit="1" customWidth="1"/>
    <col min="15371" max="15371" width="17.7109375" customWidth="1"/>
    <col min="15617" max="15617" width="45.42578125" customWidth="1"/>
    <col min="15618" max="15618" width="40.28515625" customWidth="1"/>
    <col min="15619" max="15622" width="17.7109375" customWidth="1"/>
    <col min="15623" max="15623" width="19.42578125" customWidth="1"/>
    <col min="15624" max="15624" width="17.7109375" customWidth="1"/>
    <col min="15625" max="15625" width="13.140625" customWidth="1"/>
    <col min="15626" max="15626" width="53.5703125" bestFit="1" customWidth="1"/>
    <col min="15627" max="15627" width="17.7109375" customWidth="1"/>
    <col min="15873" max="15873" width="45.42578125" customWidth="1"/>
    <col min="15874" max="15874" width="40.28515625" customWidth="1"/>
    <col min="15875" max="15878" width="17.7109375" customWidth="1"/>
    <col min="15879" max="15879" width="19.42578125" customWidth="1"/>
    <col min="15880" max="15880" width="17.7109375" customWidth="1"/>
    <col min="15881" max="15881" width="13.140625" customWidth="1"/>
    <col min="15882" max="15882" width="53.5703125" bestFit="1" customWidth="1"/>
    <col min="15883" max="15883" width="17.7109375" customWidth="1"/>
    <col min="16129" max="16129" width="45.42578125" customWidth="1"/>
    <col min="16130" max="16130" width="40.28515625" customWidth="1"/>
    <col min="16131" max="16134" width="17.7109375" customWidth="1"/>
    <col min="16135" max="16135" width="19.42578125" customWidth="1"/>
    <col min="16136" max="16136" width="17.7109375" customWidth="1"/>
    <col min="16137" max="16137" width="13.140625" customWidth="1"/>
    <col min="16138" max="16138" width="53.5703125" bestFit="1" customWidth="1"/>
    <col min="16139" max="16139" width="17.7109375" customWidth="1"/>
  </cols>
  <sheetData>
    <row r="1" spans="1:11" s="177" customFormat="1" ht="21" customHeight="1">
      <c r="A1" s="175"/>
      <c r="B1" s="176"/>
      <c r="K1" s="895"/>
    </row>
    <row r="2" spans="1:11" s="177" customFormat="1" ht="21" customHeight="1">
      <c r="A2" s="175" t="s">
        <v>235</v>
      </c>
      <c r="B2" s="176"/>
    </row>
    <row r="3" spans="1:11" s="177" customFormat="1" ht="21" customHeight="1">
      <c r="A3" s="178" t="s">
        <v>1370</v>
      </c>
      <c r="B3" s="176"/>
      <c r="C3" s="179"/>
      <c r="D3" s="179"/>
      <c r="E3" s="179"/>
      <c r="F3" s="179"/>
      <c r="G3" s="179"/>
      <c r="H3" s="179"/>
      <c r="I3" s="179"/>
      <c r="J3" s="179"/>
      <c r="K3" s="180" t="s">
        <v>234</v>
      </c>
    </row>
    <row r="4" spans="1:11" s="177" customFormat="1" ht="21" customHeight="1">
      <c r="A4" s="181" t="s">
        <v>238</v>
      </c>
      <c r="B4" s="176"/>
      <c r="C4" s="179"/>
      <c r="D4" s="179"/>
      <c r="E4" s="179"/>
      <c r="F4" s="179"/>
      <c r="G4" s="179"/>
      <c r="H4" s="179"/>
      <c r="I4" s="179"/>
      <c r="J4" s="179"/>
      <c r="K4" s="179"/>
    </row>
    <row r="5" spans="1:11" s="177" customFormat="1" ht="21" customHeight="1">
      <c r="A5" s="175" t="s">
        <v>232</v>
      </c>
      <c r="B5" s="176"/>
      <c r="C5" s="179"/>
      <c r="D5" s="179"/>
      <c r="E5" s="179"/>
      <c r="F5" s="179"/>
      <c r="G5" s="179"/>
      <c r="H5" s="179"/>
      <c r="I5" s="179"/>
      <c r="J5" s="179"/>
      <c r="K5" s="179"/>
    </row>
    <row r="6" spans="1:11" s="177" customFormat="1" ht="19.5" customHeight="1">
      <c r="A6" s="247"/>
      <c r="B6" s="176"/>
      <c r="C6" s="179"/>
      <c r="D6" s="179"/>
      <c r="E6" s="179"/>
      <c r="F6" s="179"/>
      <c r="G6" s="179"/>
      <c r="H6" s="179"/>
      <c r="I6" s="179"/>
      <c r="J6" s="179"/>
      <c r="K6" s="179"/>
    </row>
    <row r="7" spans="1:11" s="177" customFormat="1" ht="18.75" customHeight="1">
      <c r="A7" s="248"/>
      <c r="D7" s="419"/>
      <c r="E7" s="419"/>
      <c r="F7" s="419"/>
      <c r="G7" s="248"/>
      <c r="H7" s="419"/>
      <c r="I7" s="419"/>
      <c r="K7" s="896"/>
    </row>
    <row r="8" spans="1:11" s="177" customFormat="1">
      <c r="A8" s="184" t="s">
        <v>228</v>
      </c>
      <c r="B8" s="184" t="s">
        <v>227</v>
      </c>
      <c r="C8" s="184" t="s">
        <v>226</v>
      </c>
      <c r="D8" s="184"/>
      <c r="E8" s="183" t="s">
        <v>225</v>
      </c>
      <c r="F8" s="183"/>
      <c r="G8" s="184" t="s">
        <v>224</v>
      </c>
      <c r="H8" s="1381" t="s">
        <v>223</v>
      </c>
      <c r="I8" s="1381"/>
      <c r="J8" s="184" t="s">
        <v>222</v>
      </c>
      <c r="K8" s="897" t="s">
        <v>221</v>
      </c>
    </row>
    <row r="9" spans="1:11" s="186" customFormat="1">
      <c r="A9" s="1382" t="s">
        <v>220</v>
      </c>
      <c r="B9" s="1379" t="s">
        <v>219</v>
      </c>
      <c r="C9" s="1379" t="s">
        <v>218</v>
      </c>
      <c r="D9" s="1379" t="s">
        <v>217</v>
      </c>
      <c r="E9" s="1379" t="s">
        <v>216</v>
      </c>
      <c r="F9" s="1379"/>
      <c r="G9" s="1379" t="s">
        <v>215</v>
      </c>
      <c r="H9" s="1379" t="s">
        <v>214</v>
      </c>
      <c r="I9" s="1379"/>
      <c r="J9" s="1379" t="s">
        <v>240</v>
      </c>
      <c r="K9" s="1379" t="s">
        <v>212</v>
      </c>
    </row>
    <row r="10" spans="1:11" s="186" customFormat="1">
      <c r="A10" s="1382"/>
      <c r="B10" s="1379"/>
      <c r="C10" s="1379"/>
      <c r="D10" s="1379"/>
      <c r="E10" s="187" t="s">
        <v>211</v>
      </c>
      <c r="F10" s="187" t="s">
        <v>210</v>
      </c>
      <c r="G10" s="1379"/>
      <c r="H10" s="187" t="s">
        <v>211</v>
      </c>
      <c r="I10" s="187" t="s">
        <v>210</v>
      </c>
      <c r="J10" s="1379"/>
      <c r="K10" s="1379"/>
    </row>
    <row r="11" spans="1:11" ht="15.95" customHeight="1">
      <c r="A11" s="188" t="s">
        <v>208</v>
      </c>
      <c r="B11" s="189"/>
      <c r="C11" s="189"/>
      <c r="D11" s="189"/>
      <c r="E11" s="189"/>
      <c r="F11" s="189"/>
      <c r="G11" s="189"/>
      <c r="H11" s="189"/>
      <c r="I11" s="189"/>
      <c r="J11" s="189"/>
      <c r="K11" s="898">
        <v>0</v>
      </c>
    </row>
    <row r="12" spans="1:11" ht="15.95" customHeight="1">
      <c r="A12" s="256"/>
      <c r="B12" s="193"/>
      <c r="C12" s="193"/>
      <c r="D12" s="193"/>
      <c r="E12" s="193"/>
      <c r="F12" s="193"/>
      <c r="G12" s="193"/>
      <c r="H12" s="193"/>
      <c r="I12" s="193"/>
      <c r="J12" s="193"/>
      <c r="K12" s="261"/>
    </row>
    <row r="13" spans="1:11" ht="15.95" customHeight="1">
      <c r="A13" s="188" t="s">
        <v>207</v>
      </c>
      <c r="B13" s="189"/>
      <c r="C13" s="189"/>
      <c r="D13" s="196"/>
      <c r="E13" s="196"/>
      <c r="F13" s="196"/>
      <c r="G13" s="189"/>
      <c r="H13" s="189"/>
      <c r="I13" s="189"/>
      <c r="J13" s="189"/>
      <c r="K13" s="899">
        <f>SUM(K14:K23)</f>
        <v>7862275.0800000001</v>
      </c>
    </row>
    <row r="14" spans="1:11" ht="15.95" customHeight="1">
      <c r="A14" s="192" t="s">
        <v>1371</v>
      </c>
      <c r="B14" s="658" t="s">
        <v>1372</v>
      </c>
      <c r="C14" s="193" t="s">
        <v>758</v>
      </c>
      <c r="D14" s="194"/>
      <c r="E14" s="194"/>
      <c r="F14" s="194"/>
      <c r="G14" s="193" t="s">
        <v>1373</v>
      </c>
      <c r="H14" s="193"/>
      <c r="I14" s="193"/>
      <c r="J14" s="193" t="s">
        <v>1374</v>
      </c>
      <c r="K14" s="900">
        <v>1867981.12</v>
      </c>
    </row>
    <row r="15" spans="1:11" ht="19.5" customHeight="1">
      <c r="A15" s="192" t="s">
        <v>1375</v>
      </c>
      <c r="B15" s="193" t="s">
        <v>1376</v>
      </c>
      <c r="C15" s="193" t="s">
        <v>758</v>
      </c>
      <c r="D15" s="424">
        <v>1.4999999999999999E-2</v>
      </c>
      <c r="E15" s="424">
        <v>5.0000000000000001E-3</v>
      </c>
      <c r="F15" s="424">
        <v>0.06</v>
      </c>
      <c r="G15" s="658" t="s">
        <v>1377</v>
      </c>
      <c r="H15" s="237">
        <v>400</v>
      </c>
      <c r="I15" s="237">
        <v>5800</v>
      </c>
      <c r="J15" s="193" t="s">
        <v>1378</v>
      </c>
      <c r="K15" s="900">
        <v>2370915.56</v>
      </c>
    </row>
    <row r="16" spans="1:11" ht="15.95" customHeight="1">
      <c r="A16" s="192" t="s">
        <v>1379</v>
      </c>
      <c r="B16" s="193" t="s">
        <v>1380</v>
      </c>
      <c r="C16" s="193" t="s">
        <v>758</v>
      </c>
      <c r="D16" s="194">
        <v>0.1</v>
      </c>
      <c r="E16" s="194"/>
      <c r="F16" s="194"/>
      <c r="G16" s="193"/>
      <c r="H16" s="237"/>
      <c r="I16" s="237"/>
      <c r="J16" s="193" t="s">
        <v>1381</v>
      </c>
      <c r="K16" s="900">
        <v>120978.02</v>
      </c>
    </row>
    <row r="17" spans="1:11" ht="15.95" customHeight="1">
      <c r="A17" s="192" t="s">
        <v>165</v>
      </c>
      <c r="B17" s="193" t="s">
        <v>1382</v>
      </c>
      <c r="C17" s="193" t="s">
        <v>1383</v>
      </c>
      <c r="D17" s="194"/>
      <c r="E17" s="194"/>
      <c r="F17" s="194"/>
      <c r="G17" s="193"/>
      <c r="H17" s="901">
        <v>500</v>
      </c>
      <c r="I17" s="901">
        <v>1300</v>
      </c>
      <c r="J17" s="193" t="s">
        <v>1384</v>
      </c>
      <c r="K17" s="900">
        <v>5800</v>
      </c>
    </row>
    <row r="18" spans="1:11" ht="15.95" customHeight="1">
      <c r="A18" s="192" t="s">
        <v>1385</v>
      </c>
      <c r="B18" s="193" t="s">
        <v>1386</v>
      </c>
      <c r="C18" s="193" t="s">
        <v>252</v>
      </c>
      <c r="D18" s="194"/>
      <c r="E18" s="194"/>
      <c r="F18" s="194"/>
      <c r="G18" s="658">
        <v>750</v>
      </c>
      <c r="H18" s="658">
        <v>35</v>
      </c>
      <c r="I18" s="658">
        <v>270</v>
      </c>
      <c r="J18" s="193" t="s">
        <v>1387</v>
      </c>
      <c r="K18" s="900">
        <v>1712911.62</v>
      </c>
    </row>
    <row r="19" spans="1:11" ht="15.95" customHeight="1">
      <c r="A19" s="192" t="s">
        <v>1388</v>
      </c>
      <c r="B19" s="193" t="s">
        <v>1389</v>
      </c>
      <c r="C19" s="193" t="s">
        <v>252</v>
      </c>
      <c r="D19" s="194"/>
      <c r="E19" s="194"/>
      <c r="F19" s="194"/>
      <c r="G19" s="658">
        <v>800</v>
      </c>
      <c r="H19" s="237"/>
      <c r="I19" s="237"/>
      <c r="J19" s="193" t="s">
        <v>1390</v>
      </c>
      <c r="K19" s="900">
        <v>154038.28</v>
      </c>
    </row>
    <row r="20" spans="1:11" ht="15.95" customHeight="1">
      <c r="A20" s="192" t="s">
        <v>756</v>
      </c>
      <c r="B20" s="193" t="s">
        <v>1391</v>
      </c>
      <c r="C20" s="193" t="s">
        <v>758</v>
      </c>
      <c r="D20" s="194">
        <v>0.2</v>
      </c>
      <c r="E20" s="194"/>
      <c r="F20" s="194"/>
      <c r="G20" s="193"/>
      <c r="H20" s="193"/>
      <c r="I20" s="193"/>
      <c r="J20" s="193" t="s">
        <v>1392</v>
      </c>
      <c r="K20" s="900">
        <v>1610450.48</v>
      </c>
    </row>
    <row r="21" spans="1:11" ht="15.95" customHeight="1">
      <c r="A21" s="192" t="s">
        <v>1393</v>
      </c>
      <c r="B21" s="193" t="s">
        <v>987</v>
      </c>
      <c r="C21" s="193" t="s">
        <v>252</v>
      </c>
      <c r="D21" s="194"/>
      <c r="E21" s="194"/>
      <c r="F21" s="194"/>
      <c r="G21" s="658">
        <v>800</v>
      </c>
      <c r="H21" s="193"/>
      <c r="I21" s="193"/>
      <c r="J21" s="193" t="s">
        <v>1394</v>
      </c>
      <c r="K21" s="900"/>
    </row>
    <row r="22" spans="1:11" ht="15.95" customHeight="1">
      <c r="A22" s="192" t="s">
        <v>1395</v>
      </c>
      <c r="B22" s="193" t="s">
        <v>1396</v>
      </c>
      <c r="C22" s="193" t="s">
        <v>1397</v>
      </c>
      <c r="D22" s="194"/>
      <c r="E22" s="194"/>
      <c r="F22" s="194"/>
      <c r="G22" s="193"/>
      <c r="H22" s="193">
        <v>700</v>
      </c>
      <c r="I22" s="193">
        <v>800</v>
      </c>
      <c r="J22" s="193" t="s">
        <v>1398</v>
      </c>
      <c r="K22" s="900">
        <v>0</v>
      </c>
    </row>
    <row r="23" spans="1:11" ht="15.95" customHeight="1">
      <c r="A23" s="192" t="s">
        <v>1399</v>
      </c>
      <c r="B23" s="193" t="s">
        <v>968</v>
      </c>
      <c r="C23" s="193" t="s">
        <v>1400</v>
      </c>
      <c r="D23" s="194"/>
      <c r="E23" s="194"/>
      <c r="F23" s="194"/>
      <c r="G23" s="658">
        <v>800</v>
      </c>
      <c r="H23" s="193"/>
      <c r="I23" s="193"/>
      <c r="J23" s="193" t="s">
        <v>1401</v>
      </c>
      <c r="K23" s="900">
        <v>19200</v>
      </c>
    </row>
    <row r="24" spans="1:11" ht="15.95" customHeight="1">
      <c r="A24" s="902" t="s">
        <v>1402</v>
      </c>
      <c r="B24" s="210"/>
      <c r="C24" s="210"/>
      <c r="D24" s="211"/>
      <c r="E24" s="211"/>
      <c r="F24" s="211"/>
      <c r="G24" s="210"/>
      <c r="H24" s="210"/>
      <c r="I24" s="210"/>
      <c r="J24" s="210"/>
      <c r="K24" s="903">
        <f>SUM(K25:K26)</f>
        <v>1032457.44</v>
      </c>
    </row>
    <row r="25" spans="1:11" ht="15.95" customHeight="1">
      <c r="A25" s="192" t="s">
        <v>1403</v>
      </c>
      <c r="B25" s="217" t="s">
        <v>1404</v>
      </c>
      <c r="C25" s="217" t="s">
        <v>1405</v>
      </c>
      <c r="D25" s="216"/>
      <c r="E25" s="904"/>
      <c r="F25" s="904"/>
      <c r="G25" s="217" t="s">
        <v>1406</v>
      </c>
      <c r="H25" s="905"/>
      <c r="I25" s="905"/>
      <c r="J25" s="217" t="s">
        <v>1407</v>
      </c>
      <c r="K25" s="906">
        <v>261572.06</v>
      </c>
    </row>
    <row r="26" spans="1:11" ht="15.95" customHeight="1">
      <c r="A26" s="192" t="s">
        <v>1408</v>
      </c>
      <c r="B26" s="217" t="s">
        <v>1404</v>
      </c>
      <c r="C26" s="217" t="str">
        <f>+C25</f>
        <v>según servicio</v>
      </c>
      <c r="D26" s="216"/>
      <c r="E26" s="904"/>
      <c r="F26" s="904"/>
      <c r="G26" s="217" t="s">
        <v>1409</v>
      </c>
      <c r="H26" s="905"/>
      <c r="I26" s="905"/>
      <c r="J26" s="217" t="s">
        <v>1410</v>
      </c>
      <c r="K26" s="906">
        <v>770885.38</v>
      </c>
    </row>
    <row r="27" spans="1:11" ht="15.95" customHeight="1">
      <c r="A27" s="188" t="s">
        <v>179</v>
      </c>
      <c r="B27" s="189"/>
      <c r="C27" s="189"/>
      <c r="D27" s="196"/>
      <c r="E27" s="196"/>
      <c r="F27" s="196"/>
      <c r="G27" s="189"/>
      <c r="H27" s="189"/>
      <c r="I27" s="189"/>
      <c r="J27" s="189"/>
      <c r="K27" s="899">
        <f>SUM(K28:K33)</f>
        <v>354872.24</v>
      </c>
    </row>
    <row r="28" spans="1:11" ht="15.95" customHeight="1">
      <c r="A28" s="233" t="s">
        <v>172</v>
      </c>
      <c r="B28" s="193" t="s">
        <v>1411</v>
      </c>
      <c r="C28" s="193" t="s">
        <v>1400</v>
      </c>
      <c r="D28" s="194"/>
      <c r="E28" s="194"/>
      <c r="F28" s="194"/>
      <c r="G28" s="658"/>
      <c r="H28" s="193">
        <v>150</v>
      </c>
      <c r="I28" s="193">
        <v>1500</v>
      </c>
      <c r="J28" s="193" t="s">
        <v>1412</v>
      </c>
      <c r="K28" s="900">
        <v>253021.24</v>
      </c>
    </row>
    <row r="29" spans="1:11" ht="15.95" customHeight="1">
      <c r="A29" s="192" t="s">
        <v>1413</v>
      </c>
      <c r="B29" s="193" t="s">
        <v>1414</v>
      </c>
      <c r="C29" s="193" t="s">
        <v>1400</v>
      </c>
      <c r="D29" s="424">
        <v>5.0000000000000001E-3</v>
      </c>
      <c r="E29" s="194"/>
      <c r="F29" s="194"/>
      <c r="G29" s="193"/>
      <c r="H29" s="901">
        <v>2500</v>
      </c>
      <c r="I29" s="901">
        <v>5000</v>
      </c>
      <c r="J29" s="193" t="s">
        <v>1415</v>
      </c>
      <c r="K29" s="900">
        <v>34938</v>
      </c>
    </row>
    <row r="30" spans="1:11" ht="15.95" customHeight="1">
      <c r="A30" s="192" t="s">
        <v>1416</v>
      </c>
      <c r="B30" s="193" t="s">
        <v>1417</v>
      </c>
      <c r="C30" s="193" t="s">
        <v>758</v>
      </c>
      <c r="D30" s="194"/>
      <c r="E30" s="194"/>
      <c r="F30" s="194"/>
      <c r="G30" s="658">
        <v>160000</v>
      </c>
      <c r="H30" s="193"/>
      <c r="I30" s="193"/>
      <c r="J30" s="193" t="s">
        <v>1418</v>
      </c>
      <c r="K30" s="900">
        <v>66913</v>
      </c>
    </row>
    <row r="31" spans="1:11" ht="15.95" customHeight="1">
      <c r="A31" s="192" t="s">
        <v>1419</v>
      </c>
      <c r="B31" s="193" t="s">
        <v>1420</v>
      </c>
      <c r="C31" s="193" t="s">
        <v>1397</v>
      </c>
      <c r="D31" s="194"/>
      <c r="E31" s="194"/>
      <c r="F31" s="194"/>
      <c r="G31" s="658" t="s">
        <v>1421</v>
      </c>
      <c r="H31" s="193"/>
      <c r="I31" s="193"/>
      <c r="J31" s="256" t="s">
        <v>1422</v>
      </c>
      <c r="K31" s="900">
        <v>0</v>
      </c>
    </row>
    <row r="32" spans="1:11" ht="15.95" customHeight="1">
      <c r="A32" s="192" t="s">
        <v>1423</v>
      </c>
      <c r="B32" s="193" t="s">
        <v>1424</v>
      </c>
      <c r="C32" s="193"/>
      <c r="D32" s="194"/>
      <c r="E32" s="194"/>
      <c r="F32" s="194"/>
      <c r="G32" s="658">
        <v>800</v>
      </c>
      <c r="H32" s="193"/>
      <c r="I32" s="193"/>
      <c r="J32" s="256" t="s">
        <v>1425</v>
      </c>
      <c r="K32" s="900">
        <v>0</v>
      </c>
    </row>
    <row r="33" spans="1:11" ht="15.95" customHeight="1">
      <c r="A33" s="192" t="s">
        <v>1426</v>
      </c>
      <c r="B33" s="193" t="s">
        <v>1427</v>
      </c>
      <c r="C33" s="193"/>
      <c r="D33" s="194"/>
      <c r="E33" s="194"/>
      <c r="F33" s="194"/>
      <c r="G33" s="193" t="s">
        <v>1428</v>
      </c>
      <c r="H33" s="193"/>
      <c r="I33" s="193"/>
      <c r="J33" s="256" t="s">
        <v>1429</v>
      </c>
      <c r="K33" s="900">
        <v>0</v>
      </c>
    </row>
    <row r="34" spans="1:11" ht="15.95" customHeight="1">
      <c r="A34" s="188" t="s">
        <v>152</v>
      </c>
      <c r="B34" s="189"/>
      <c r="C34" s="189"/>
      <c r="D34" s="196"/>
      <c r="E34" s="196"/>
      <c r="F34" s="196"/>
      <c r="G34" s="189"/>
      <c r="H34" s="189"/>
      <c r="I34" s="189"/>
      <c r="J34" s="189"/>
      <c r="K34" s="899">
        <f>SUM(K35:K36)</f>
        <v>1277950</v>
      </c>
    </row>
    <row r="35" spans="1:11" ht="15.95" customHeight="1">
      <c r="A35" s="256" t="s">
        <v>1430</v>
      </c>
      <c r="B35" s="193" t="s">
        <v>1431</v>
      </c>
      <c r="C35" s="193" t="s">
        <v>1432</v>
      </c>
      <c r="D35" s="194"/>
      <c r="E35" s="194"/>
      <c r="F35" s="194"/>
      <c r="G35" s="193"/>
      <c r="H35" s="658">
        <v>3500</v>
      </c>
      <c r="I35" s="658">
        <v>5500</v>
      </c>
      <c r="J35" s="647" t="s">
        <v>1433</v>
      </c>
      <c r="K35" s="900">
        <v>787500</v>
      </c>
    </row>
    <row r="36" spans="1:11" ht="15.95" customHeight="1">
      <c r="A36" s="256" t="s">
        <v>1434</v>
      </c>
      <c r="B36" s="193" t="s">
        <v>1431</v>
      </c>
      <c r="C36" s="193" t="s">
        <v>1432</v>
      </c>
      <c r="D36" s="194"/>
      <c r="E36" s="194"/>
      <c r="F36" s="194"/>
      <c r="G36" s="193"/>
      <c r="H36" s="658">
        <v>100</v>
      </c>
      <c r="I36" s="658">
        <v>3000</v>
      </c>
      <c r="J36" s="647" t="s">
        <v>1435</v>
      </c>
      <c r="K36" s="900">
        <v>490450</v>
      </c>
    </row>
    <row r="37" spans="1:11" ht="15.95" customHeight="1">
      <c r="A37" s="188" t="s">
        <v>151</v>
      </c>
      <c r="B37" s="189"/>
      <c r="C37" s="189"/>
      <c r="D37" s="196"/>
      <c r="E37" s="196"/>
      <c r="F37" s="196"/>
      <c r="G37" s="189"/>
      <c r="H37" s="189"/>
      <c r="I37" s="189"/>
      <c r="J37" s="189"/>
      <c r="K37" s="899">
        <f>SUM(K38:K39)</f>
        <v>59088.42</v>
      </c>
    </row>
    <row r="38" spans="1:11" ht="15.95" customHeight="1">
      <c r="A38" s="256" t="s">
        <v>1436</v>
      </c>
      <c r="B38" s="193" t="s">
        <v>1437</v>
      </c>
      <c r="C38" s="193" t="s">
        <v>1432</v>
      </c>
      <c r="D38" s="194"/>
      <c r="E38" s="194"/>
      <c r="F38" s="194"/>
      <c r="G38" s="193"/>
      <c r="H38" s="193"/>
      <c r="I38" s="193"/>
      <c r="J38" s="907" t="s">
        <v>1438</v>
      </c>
      <c r="K38" s="900">
        <v>15008.42</v>
      </c>
    </row>
    <row r="39" spans="1:11" ht="15.95" customHeight="1">
      <c r="A39" s="256" t="s">
        <v>1439</v>
      </c>
      <c r="B39" s="193" t="s">
        <v>1440</v>
      </c>
      <c r="C39" s="193"/>
      <c r="D39" s="194"/>
      <c r="E39" s="194"/>
      <c r="F39" s="194"/>
      <c r="G39" s="193"/>
      <c r="H39" s="193"/>
      <c r="I39" s="193"/>
      <c r="J39" s="907" t="s">
        <v>1441</v>
      </c>
      <c r="K39" s="900">
        <v>44080</v>
      </c>
    </row>
    <row r="40" spans="1:11" s="177" customFormat="1" ht="15.95" customHeight="1">
      <c r="A40" s="209" t="s">
        <v>137</v>
      </c>
      <c r="B40" s="210"/>
      <c r="C40" s="210"/>
      <c r="D40" s="211"/>
      <c r="E40" s="211"/>
      <c r="F40" s="211"/>
      <c r="G40" s="210"/>
      <c r="H40" s="210"/>
      <c r="I40" s="210"/>
      <c r="J40" s="210"/>
      <c r="K40" s="903">
        <f>SUM(K41)</f>
        <v>8000</v>
      </c>
    </row>
    <row r="41" spans="1:11" s="177" customFormat="1" ht="15.95" customHeight="1">
      <c r="A41" s="274" t="s">
        <v>1442</v>
      </c>
      <c r="B41" s="217" t="s">
        <v>1443</v>
      </c>
      <c r="C41" s="217" t="s">
        <v>758</v>
      </c>
      <c r="D41" s="216"/>
      <c r="E41" s="216"/>
      <c r="F41" s="216"/>
      <c r="G41" s="217">
        <v>4000</v>
      </c>
      <c r="H41" s="217"/>
      <c r="I41" s="217"/>
      <c r="J41" s="907" t="s">
        <v>1444</v>
      </c>
      <c r="K41" s="906">
        <v>8000</v>
      </c>
    </row>
    <row r="42" spans="1:11" ht="15.95" customHeight="1">
      <c r="A42" s="188" t="s">
        <v>136</v>
      </c>
      <c r="B42" s="189"/>
      <c r="C42" s="189"/>
      <c r="D42" s="196"/>
      <c r="E42" s="196"/>
      <c r="F42" s="196"/>
      <c r="G42" s="189"/>
      <c r="H42" s="189"/>
      <c r="I42" s="189"/>
      <c r="J42" s="189"/>
      <c r="K42" s="899">
        <f>SUM(K43:K50)</f>
        <v>117361.76</v>
      </c>
    </row>
    <row r="43" spans="1:11" ht="15.95" customHeight="1">
      <c r="A43" s="256" t="s">
        <v>1445</v>
      </c>
      <c r="B43" s="193" t="s">
        <v>1446</v>
      </c>
      <c r="C43" s="193"/>
      <c r="D43" s="194"/>
      <c r="E43" s="194"/>
      <c r="F43" s="194"/>
      <c r="G43" s="193"/>
      <c r="H43" s="193"/>
      <c r="I43" s="193"/>
      <c r="J43" s="647" t="s">
        <v>1447</v>
      </c>
      <c r="K43" s="900">
        <v>4000.81</v>
      </c>
    </row>
    <row r="44" spans="1:11" ht="15.95" customHeight="1">
      <c r="A44" s="256" t="s">
        <v>1448</v>
      </c>
      <c r="B44" s="193" t="s">
        <v>1449</v>
      </c>
      <c r="C44" s="193" t="s">
        <v>1450</v>
      </c>
      <c r="D44" s="194"/>
      <c r="E44" s="194"/>
      <c r="F44" s="194"/>
      <c r="G44" s="193" t="s">
        <v>1451</v>
      </c>
      <c r="H44" s="193"/>
      <c r="I44" s="193"/>
      <c r="J44" s="193" t="s">
        <v>1452</v>
      </c>
      <c r="K44" s="900">
        <v>0</v>
      </c>
    </row>
    <row r="45" spans="1:11" ht="15.95" customHeight="1">
      <c r="A45" s="256" t="s">
        <v>467</v>
      </c>
      <c r="B45" s="193" t="s">
        <v>1437</v>
      </c>
      <c r="C45" s="193" t="s">
        <v>1453</v>
      </c>
      <c r="D45" s="194"/>
      <c r="E45" s="194"/>
      <c r="F45" s="194"/>
      <c r="G45" s="658">
        <v>900</v>
      </c>
      <c r="H45" s="193"/>
      <c r="I45" s="193"/>
      <c r="J45" s="193" t="s">
        <v>1454</v>
      </c>
      <c r="K45" s="900">
        <v>84100</v>
      </c>
    </row>
    <row r="46" spans="1:11" ht="15.95" customHeight="1">
      <c r="A46" s="256" t="s">
        <v>1455</v>
      </c>
      <c r="B46" s="193" t="s">
        <v>1456</v>
      </c>
      <c r="C46" s="193" t="s">
        <v>758</v>
      </c>
      <c r="D46" s="194"/>
      <c r="E46" s="194"/>
      <c r="F46" s="194"/>
      <c r="G46" s="193"/>
      <c r="H46" s="193"/>
      <c r="I46" s="193"/>
      <c r="J46" s="193"/>
      <c r="K46" s="900">
        <v>20854.95</v>
      </c>
    </row>
    <row r="47" spans="1:11" ht="15.95" customHeight="1">
      <c r="A47" s="256" t="s">
        <v>1457</v>
      </c>
      <c r="B47" s="193" t="s">
        <v>1458</v>
      </c>
      <c r="C47" s="193" t="s">
        <v>758</v>
      </c>
      <c r="D47" s="194"/>
      <c r="E47" s="194"/>
      <c r="F47" s="194"/>
      <c r="G47" s="193"/>
      <c r="H47" s="193"/>
      <c r="I47" s="193"/>
      <c r="J47" s="193"/>
      <c r="K47" s="900">
        <v>6605.64</v>
      </c>
    </row>
    <row r="48" spans="1:11" s="177" customFormat="1" ht="15.95" customHeight="1">
      <c r="A48" s="256" t="s">
        <v>1459</v>
      </c>
      <c r="B48" s="193" t="s">
        <v>1458</v>
      </c>
      <c r="C48" s="217" t="s">
        <v>758</v>
      </c>
      <c r="D48" s="216"/>
      <c r="E48" s="216"/>
      <c r="F48" s="216"/>
      <c r="G48" s="217"/>
      <c r="H48" s="217"/>
      <c r="I48" s="217"/>
      <c r="J48" s="217"/>
      <c r="K48" s="906">
        <v>1800.36</v>
      </c>
    </row>
    <row r="49" spans="1:11" s="177" customFormat="1" ht="15.95" customHeight="1">
      <c r="A49" s="256" t="s">
        <v>1460</v>
      </c>
      <c r="B49" s="193" t="s">
        <v>987</v>
      </c>
      <c r="C49" s="217" t="s">
        <v>758</v>
      </c>
      <c r="D49" s="216"/>
      <c r="E49" s="216"/>
      <c r="F49" s="216"/>
      <c r="G49" s="217" t="s">
        <v>1461</v>
      </c>
      <c r="H49" s="217"/>
      <c r="I49" s="217"/>
      <c r="J49" s="217" t="s">
        <v>1462</v>
      </c>
      <c r="K49" s="906">
        <v>0</v>
      </c>
    </row>
    <row r="50" spans="1:11" s="177" customFormat="1" ht="15.95" customHeight="1">
      <c r="A50" s="256" t="s">
        <v>1463</v>
      </c>
      <c r="B50" s="193" t="s">
        <v>987</v>
      </c>
      <c r="C50" s="217" t="s">
        <v>758</v>
      </c>
      <c r="D50" s="216"/>
      <c r="E50" s="216"/>
      <c r="F50" s="216"/>
      <c r="G50" s="217" t="s">
        <v>1082</v>
      </c>
      <c r="H50" s="217"/>
      <c r="I50" s="217"/>
      <c r="J50" s="217" t="s">
        <v>1462</v>
      </c>
      <c r="K50" s="906">
        <v>0</v>
      </c>
    </row>
    <row r="51" spans="1:11">
      <c r="A51" s="241" t="s">
        <v>108</v>
      </c>
      <c r="B51" s="242"/>
      <c r="C51" s="242"/>
      <c r="D51" s="243"/>
      <c r="E51" s="243"/>
      <c r="F51" s="243"/>
      <c r="G51" s="242"/>
      <c r="H51" s="242"/>
      <c r="I51" s="242"/>
      <c r="J51" s="242"/>
      <c r="K51" s="908">
        <f>+K42+K40+K37+K34+K27+K13+K24+K11</f>
        <v>10712004.939999999</v>
      </c>
    </row>
    <row r="52" spans="1:11">
      <c r="A52" s="245"/>
      <c r="B52" s="246"/>
      <c r="C52" s="246"/>
      <c r="D52" s="246"/>
      <c r="E52" s="246"/>
      <c r="F52" s="246"/>
      <c r="G52" s="246"/>
      <c r="H52" s="246"/>
    </row>
    <row r="56" spans="1:11">
      <c r="A56" s="909"/>
      <c r="B56" s="239"/>
    </row>
    <row r="57" spans="1:11">
      <c r="A57" s="239"/>
      <c r="J57" s="191"/>
    </row>
    <row r="58" spans="1:11">
      <c r="A58" s="909"/>
      <c r="J58" s="191"/>
    </row>
    <row r="59" spans="1:11" s="239" customFormat="1">
      <c r="A59" s="909"/>
      <c r="J59" s="910"/>
    </row>
    <row r="60" spans="1:11">
      <c r="A60" s="239"/>
      <c r="K60" s="910"/>
    </row>
    <row r="61" spans="1:11">
      <c r="A61" s="239"/>
    </row>
    <row r="62" spans="1:11">
      <c r="A62" s="239"/>
    </row>
    <row r="63" spans="1:11">
      <c r="A63" s="239"/>
    </row>
    <row r="64" spans="1:11">
      <c r="A64" s="239"/>
    </row>
    <row r="65" spans="1:1">
      <c r="A65" s="239"/>
    </row>
    <row r="66" spans="1:1">
      <c r="A66" s="909"/>
    </row>
  </sheetData>
  <mergeCells count="10">
    <mergeCell ref="J9:J10"/>
    <mergeCell ref="K9:K10"/>
    <mergeCell ref="H8:I8"/>
    <mergeCell ref="A9:A10"/>
    <mergeCell ref="B9:B10"/>
    <mergeCell ref="C9:C10"/>
    <mergeCell ref="D9:D10"/>
    <mergeCell ref="E9:F9"/>
    <mergeCell ref="G9:G10"/>
    <mergeCell ref="H9:I9"/>
  </mergeCells>
  <pageMargins left="0.31496062992125984" right="0.31496062992125984" top="0.35433070866141736" bottom="0" header="0.31496062992125984" footer="0.31496062992125984"/>
  <pageSetup paperSize="9" scale="4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A1:K61"/>
  <sheetViews>
    <sheetView showGridLines="0" workbookViewId="0"/>
  </sheetViews>
  <sheetFormatPr baseColWidth="10" defaultRowHeight="15"/>
  <cols>
    <col min="1" max="1" width="43.140625" customWidth="1"/>
    <col min="2" max="2" width="30.85546875" customWidth="1"/>
    <col min="3" max="6" width="17.7109375" customWidth="1"/>
    <col min="7" max="7" width="19.42578125" customWidth="1"/>
    <col min="8" max="11" width="17.7109375" customWidth="1"/>
    <col min="257" max="257" width="43.140625" customWidth="1"/>
    <col min="258" max="258" width="30.85546875" customWidth="1"/>
    <col min="259" max="262" width="17.7109375" customWidth="1"/>
    <col min="263" max="263" width="19.42578125" customWidth="1"/>
    <col min="264" max="267" width="17.7109375" customWidth="1"/>
    <col min="513" max="513" width="43.140625" customWidth="1"/>
    <col min="514" max="514" width="30.85546875" customWidth="1"/>
    <col min="515" max="518" width="17.7109375" customWidth="1"/>
    <col min="519" max="519" width="19.42578125" customWidth="1"/>
    <col min="520" max="523" width="17.7109375" customWidth="1"/>
    <col min="769" max="769" width="43.140625" customWidth="1"/>
    <col min="770" max="770" width="30.85546875" customWidth="1"/>
    <col min="771" max="774" width="17.7109375" customWidth="1"/>
    <col min="775" max="775" width="19.42578125" customWidth="1"/>
    <col min="776" max="779" width="17.7109375" customWidth="1"/>
    <col min="1025" max="1025" width="43.140625" customWidth="1"/>
    <col min="1026" max="1026" width="30.85546875" customWidth="1"/>
    <col min="1027" max="1030" width="17.7109375" customWidth="1"/>
    <col min="1031" max="1031" width="19.42578125" customWidth="1"/>
    <col min="1032" max="1035" width="17.7109375" customWidth="1"/>
    <col min="1281" max="1281" width="43.140625" customWidth="1"/>
    <col min="1282" max="1282" width="30.85546875" customWidth="1"/>
    <col min="1283" max="1286" width="17.7109375" customWidth="1"/>
    <col min="1287" max="1287" width="19.42578125" customWidth="1"/>
    <col min="1288" max="1291" width="17.7109375" customWidth="1"/>
    <col min="1537" max="1537" width="43.140625" customWidth="1"/>
    <col min="1538" max="1538" width="30.85546875" customWidth="1"/>
    <col min="1539" max="1542" width="17.7109375" customWidth="1"/>
    <col min="1543" max="1543" width="19.42578125" customWidth="1"/>
    <col min="1544" max="1547" width="17.7109375" customWidth="1"/>
    <col min="1793" max="1793" width="43.140625" customWidth="1"/>
    <col min="1794" max="1794" width="30.85546875" customWidth="1"/>
    <col min="1795" max="1798" width="17.7109375" customWidth="1"/>
    <col min="1799" max="1799" width="19.42578125" customWidth="1"/>
    <col min="1800" max="1803" width="17.7109375" customWidth="1"/>
    <col min="2049" max="2049" width="43.140625" customWidth="1"/>
    <col min="2050" max="2050" width="30.85546875" customWidth="1"/>
    <col min="2051" max="2054" width="17.7109375" customWidth="1"/>
    <col min="2055" max="2055" width="19.42578125" customWidth="1"/>
    <col min="2056" max="2059" width="17.7109375" customWidth="1"/>
    <col min="2305" max="2305" width="43.140625" customWidth="1"/>
    <col min="2306" max="2306" width="30.85546875" customWidth="1"/>
    <col min="2307" max="2310" width="17.7109375" customWidth="1"/>
    <col min="2311" max="2311" width="19.42578125" customWidth="1"/>
    <col min="2312" max="2315" width="17.7109375" customWidth="1"/>
    <col min="2561" max="2561" width="43.140625" customWidth="1"/>
    <col min="2562" max="2562" width="30.85546875" customWidth="1"/>
    <col min="2563" max="2566" width="17.7109375" customWidth="1"/>
    <col min="2567" max="2567" width="19.42578125" customWidth="1"/>
    <col min="2568" max="2571" width="17.7109375" customWidth="1"/>
    <col min="2817" max="2817" width="43.140625" customWidth="1"/>
    <col min="2818" max="2818" width="30.85546875" customWidth="1"/>
    <col min="2819" max="2822" width="17.7109375" customWidth="1"/>
    <col min="2823" max="2823" width="19.42578125" customWidth="1"/>
    <col min="2824" max="2827" width="17.7109375" customWidth="1"/>
    <col min="3073" max="3073" width="43.140625" customWidth="1"/>
    <col min="3074" max="3074" width="30.85546875" customWidth="1"/>
    <col min="3075" max="3078" width="17.7109375" customWidth="1"/>
    <col min="3079" max="3079" width="19.42578125" customWidth="1"/>
    <col min="3080" max="3083" width="17.7109375" customWidth="1"/>
    <col min="3329" max="3329" width="43.140625" customWidth="1"/>
    <col min="3330" max="3330" width="30.85546875" customWidth="1"/>
    <col min="3331" max="3334" width="17.7109375" customWidth="1"/>
    <col min="3335" max="3335" width="19.42578125" customWidth="1"/>
    <col min="3336" max="3339" width="17.7109375" customWidth="1"/>
    <col min="3585" max="3585" width="43.140625" customWidth="1"/>
    <col min="3586" max="3586" width="30.85546875" customWidth="1"/>
    <col min="3587" max="3590" width="17.7109375" customWidth="1"/>
    <col min="3591" max="3591" width="19.42578125" customWidth="1"/>
    <col min="3592" max="3595" width="17.7109375" customWidth="1"/>
    <col min="3841" max="3841" width="43.140625" customWidth="1"/>
    <col min="3842" max="3842" width="30.85546875" customWidth="1"/>
    <col min="3843" max="3846" width="17.7109375" customWidth="1"/>
    <col min="3847" max="3847" width="19.42578125" customWidth="1"/>
    <col min="3848" max="3851" width="17.7109375" customWidth="1"/>
    <col min="4097" max="4097" width="43.140625" customWidth="1"/>
    <col min="4098" max="4098" width="30.85546875" customWidth="1"/>
    <col min="4099" max="4102" width="17.7109375" customWidth="1"/>
    <col min="4103" max="4103" width="19.42578125" customWidth="1"/>
    <col min="4104" max="4107" width="17.7109375" customWidth="1"/>
    <col min="4353" max="4353" width="43.140625" customWidth="1"/>
    <col min="4354" max="4354" width="30.85546875" customWidth="1"/>
    <col min="4355" max="4358" width="17.7109375" customWidth="1"/>
    <col min="4359" max="4359" width="19.42578125" customWidth="1"/>
    <col min="4360" max="4363" width="17.7109375" customWidth="1"/>
    <col min="4609" max="4609" width="43.140625" customWidth="1"/>
    <col min="4610" max="4610" width="30.85546875" customWidth="1"/>
    <col min="4611" max="4614" width="17.7109375" customWidth="1"/>
    <col min="4615" max="4615" width="19.42578125" customWidth="1"/>
    <col min="4616" max="4619" width="17.7109375" customWidth="1"/>
    <col min="4865" max="4865" width="43.140625" customWidth="1"/>
    <col min="4866" max="4866" width="30.85546875" customWidth="1"/>
    <col min="4867" max="4870" width="17.7109375" customWidth="1"/>
    <col min="4871" max="4871" width="19.42578125" customWidth="1"/>
    <col min="4872" max="4875" width="17.7109375" customWidth="1"/>
    <col min="5121" max="5121" width="43.140625" customWidth="1"/>
    <col min="5122" max="5122" width="30.85546875" customWidth="1"/>
    <col min="5123" max="5126" width="17.7109375" customWidth="1"/>
    <col min="5127" max="5127" width="19.42578125" customWidth="1"/>
    <col min="5128" max="5131" width="17.7109375" customWidth="1"/>
    <col min="5377" max="5377" width="43.140625" customWidth="1"/>
    <col min="5378" max="5378" width="30.85546875" customWidth="1"/>
    <col min="5379" max="5382" width="17.7109375" customWidth="1"/>
    <col min="5383" max="5383" width="19.42578125" customWidth="1"/>
    <col min="5384" max="5387" width="17.7109375" customWidth="1"/>
    <col min="5633" max="5633" width="43.140625" customWidth="1"/>
    <col min="5634" max="5634" width="30.85546875" customWidth="1"/>
    <col min="5635" max="5638" width="17.7109375" customWidth="1"/>
    <col min="5639" max="5639" width="19.42578125" customWidth="1"/>
    <col min="5640" max="5643" width="17.7109375" customWidth="1"/>
    <col min="5889" max="5889" width="43.140625" customWidth="1"/>
    <col min="5890" max="5890" width="30.85546875" customWidth="1"/>
    <col min="5891" max="5894" width="17.7109375" customWidth="1"/>
    <col min="5895" max="5895" width="19.42578125" customWidth="1"/>
    <col min="5896" max="5899" width="17.7109375" customWidth="1"/>
    <col min="6145" max="6145" width="43.140625" customWidth="1"/>
    <col min="6146" max="6146" width="30.85546875" customWidth="1"/>
    <col min="6147" max="6150" width="17.7109375" customWidth="1"/>
    <col min="6151" max="6151" width="19.42578125" customWidth="1"/>
    <col min="6152" max="6155" width="17.7109375" customWidth="1"/>
    <col min="6401" max="6401" width="43.140625" customWidth="1"/>
    <col min="6402" max="6402" width="30.85546875" customWidth="1"/>
    <col min="6403" max="6406" width="17.7109375" customWidth="1"/>
    <col min="6407" max="6407" width="19.42578125" customWidth="1"/>
    <col min="6408" max="6411" width="17.7109375" customWidth="1"/>
    <col min="6657" max="6657" width="43.140625" customWidth="1"/>
    <col min="6658" max="6658" width="30.85546875" customWidth="1"/>
    <col min="6659" max="6662" width="17.7109375" customWidth="1"/>
    <col min="6663" max="6663" width="19.42578125" customWidth="1"/>
    <col min="6664" max="6667" width="17.7109375" customWidth="1"/>
    <col min="6913" max="6913" width="43.140625" customWidth="1"/>
    <col min="6914" max="6914" width="30.85546875" customWidth="1"/>
    <col min="6915" max="6918" width="17.7109375" customWidth="1"/>
    <col min="6919" max="6919" width="19.42578125" customWidth="1"/>
    <col min="6920" max="6923" width="17.7109375" customWidth="1"/>
    <col min="7169" max="7169" width="43.140625" customWidth="1"/>
    <col min="7170" max="7170" width="30.85546875" customWidth="1"/>
    <col min="7171" max="7174" width="17.7109375" customWidth="1"/>
    <col min="7175" max="7175" width="19.42578125" customWidth="1"/>
    <col min="7176" max="7179" width="17.7109375" customWidth="1"/>
    <col min="7425" max="7425" width="43.140625" customWidth="1"/>
    <col min="7426" max="7426" width="30.85546875" customWidth="1"/>
    <col min="7427" max="7430" width="17.7109375" customWidth="1"/>
    <col min="7431" max="7431" width="19.42578125" customWidth="1"/>
    <col min="7432" max="7435" width="17.7109375" customWidth="1"/>
    <col min="7681" max="7681" width="43.140625" customWidth="1"/>
    <col min="7682" max="7682" width="30.85546875" customWidth="1"/>
    <col min="7683" max="7686" width="17.7109375" customWidth="1"/>
    <col min="7687" max="7687" width="19.42578125" customWidth="1"/>
    <col min="7688" max="7691" width="17.7109375" customWidth="1"/>
    <col min="7937" max="7937" width="43.140625" customWidth="1"/>
    <col min="7938" max="7938" width="30.85546875" customWidth="1"/>
    <col min="7939" max="7942" width="17.7109375" customWidth="1"/>
    <col min="7943" max="7943" width="19.42578125" customWidth="1"/>
    <col min="7944" max="7947" width="17.7109375" customWidth="1"/>
    <col min="8193" max="8193" width="43.140625" customWidth="1"/>
    <col min="8194" max="8194" width="30.85546875" customWidth="1"/>
    <col min="8195" max="8198" width="17.7109375" customWidth="1"/>
    <col min="8199" max="8199" width="19.42578125" customWidth="1"/>
    <col min="8200" max="8203" width="17.7109375" customWidth="1"/>
    <col min="8449" max="8449" width="43.140625" customWidth="1"/>
    <col min="8450" max="8450" width="30.85546875" customWidth="1"/>
    <col min="8451" max="8454" width="17.7109375" customWidth="1"/>
    <col min="8455" max="8455" width="19.42578125" customWidth="1"/>
    <col min="8456" max="8459" width="17.7109375" customWidth="1"/>
    <col min="8705" max="8705" width="43.140625" customWidth="1"/>
    <col min="8706" max="8706" width="30.85546875" customWidth="1"/>
    <col min="8707" max="8710" width="17.7109375" customWidth="1"/>
    <col min="8711" max="8711" width="19.42578125" customWidth="1"/>
    <col min="8712" max="8715" width="17.7109375" customWidth="1"/>
    <col min="8961" max="8961" width="43.140625" customWidth="1"/>
    <col min="8962" max="8962" width="30.85546875" customWidth="1"/>
    <col min="8963" max="8966" width="17.7109375" customWidth="1"/>
    <col min="8967" max="8967" width="19.42578125" customWidth="1"/>
    <col min="8968" max="8971" width="17.7109375" customWidth="1"/>
    <col min="9217" max="9217" width="43.140625" customWidth="1"/>
    <col min="9218" max="9218" width="30.85546875" customWidth="1"/>
    <col min="9219" max="9222" width="17.7109375" customWidth="1"/>
    <col min="9223" max="9223" width="19.42578125" customWidth="1"/>
    <col min="9224" max="9227" width="17.7109375" customWidth="1"/>
    <col min="9473" max="9473" width="43.140625" customWidth="1"/>
    <col min="9474" max="9474" width="30.85546875" customWidth="1"/>
    <col min="9475" max="9478" width="17.7109375" customWidth="1"/>
    <col min="9479" max="9479" width="19.42578125" customWidth="1"/>
    <col min="9480" max="9483" width="17.7109375" customWidth="1"/>
    <col min="9729" max="9729" width="43.140625" customWidth="1"/>
    <col min="9730" max="9730" width="30.85546875" customWidth="1"/>
    <col min="9731" max="9734" width="17.7109375" customWidth="1"/>
    <col min="9735" max="9735" width="19.42578125" customWidth="1"/>
    <col min="9736" max="9739" width="17.7109375" customWidth="1"/>
    <col min="9985" max="9985" width="43.140625" customWidth="1"/>
    <col min="9986" max="9986" width="30.85546875" customWidth="1"/>
    <col min="9987" max="9990" width="17.7109375" customWidth="1"/>
    <col min="9991" max="9991" width="19.42578125" customWidth="1"/>
    <col min="9992" max="9995" width="17.7109375" customWidth="1"/>
    <col min="10241" max="10241" width="43.140625" customWidth="1"/>
    <col min="10242" max="10242" width="30.85546875" customWidth="1"/>
    <col min="10243" max="10246" width="17.7109375" customWidth="1"/>
    <col min="10247" max="10247" width="19.42578125" customWidth="1"/>
    <col min="10248" max="10251" width="17.7109375" customWidth="1"/>
    <col min="10497" max="10497" width="43.140625" customWidth="1"/>
    <col min="10498" max="10498" width="30.85546875" customWidth="1"/>
    <col min="10499" max="10502" width="17.7109375" customWidth="1"/>
    <col min="10503" max="10503" width="19.42578125" customWidth="1"/>
    <col min="10504" max="10507" width="17.7109375" customWidth="1"/>
    <col min="10753" max="10753" width="43.140625" customWidth="1"/>
    <col min="10754" max="10754" width="30.85546875" customWidth="1"/>
    <col min="10755" max="10758" width="17.7109375" customWidth="1"/>
    <col min="10759" max="10759" width="19.42578125" customWidth="1"/>
    <col min="10760" max="10763" width="17.7109375" customWidth="1"/>
    <col min="11009" max="11009" width="43.140625" customWidth="1"/>
    <col min="11010" max="11010" width="30.85546875" customWidth="1"/>
    <col min="11011" max="11014" width="17.7109375" customWidth="1"/>
    <col min="11015" max="11015" width="19.42578125" customWidth="1"/>
    <col min="11016" max="11019" width="17.7109375" customWidth="1"/>
    <col min="11265" max="11265" width="43.140625" customWidth="1"/>
    <col min="11266" max="11266" width="30.85546875" customWidth="1"/>
    <col min="11267" max="11270" width="17.7109375" customWidth="1"/>
    <col min="11271" max="11271" width="19.42578125" customWidth="1"/>
    <col min="11272" max="11275" width="17.7109375" customWidth="1"/>
    <col min="11521" max="11521" width="43.140625" customWidth="1"/>
    <col min="11522" max="11522" width="30.85546875" customWidth="1"/>
    <col min="11523" max="11526" width="17.7109375" customWidth="1"/>
    <col min="11527" max="11527" width="19.42578125" customWidth="1"/>
    <col min="11528" max="11531" width="17.7109375" customWidth="1"/>
    <col min="11777" max="11777" width="43.140625" customWidth="1"/>
    <col min="11778" max="11778" width="30.85546875" customWidth="1"/>
    <col min="11779" max="11782" width="17.7109375" customWidth="1"/>
    <col min="11783" max="11783" width="19.42578125" customWidth="1"/>
    <col min="11784" max="11787" width="17.7109375" customWidth="1"/>
    <col min="12033" max="12033" width="43.140625" customWidth="1"/>
    <col min="12034" max="12034" width="30.85546875" customWidth="1"/>
    <col min="12035" max="12038" width="17.7109375" customWidth="1"/>
    <col min="12039" max="12039" width="19.42578125" customWidth="1"/>
    <col min="12040" max="12043" width="17.7109375" customWidth="1"/>
    <col min="12289" max="12289" width="43.140625" customWidth="1"/>
    <col min="12290" max="12290" width="30.85546875" customWidth="1"/>
    <col min="12291" max="12294" width="17.7109375" customWidth="1"/>
    <col min="12295" max="12295" width="19.42578125" customWidth="1"/>
    <col min="12296" max="12299" width="17.7109375" customWidth="1"/>
    <col min="12545" max="12545" width="43.140625" customWidth="1"/>
    <col min="12546" max="12546" width="30.85546875" customWidth="1"/>
    <col min="12547" max="12550" width="17.7109375" customWidth="1"/>
    <col min="12551" max="12551" width="19.42578125" customWidth="1"/>
    <col min="12552" max="12555" width="17.7109375" customWidth="1"/>
    <col min="12801" max="12801" width="43.140625" customWidth="1"/>
    <col min="12802" max="12802" width="30.85546875" customWidth="1"/>
    <col min="12803" max="12806" width="17.7109375" customWidth="1"/>
    <col min="12807" max="12807" width="19.42578125" customWidth="1"/>
    <col min="12808" max="12811" width="17.7109375" customWidth="1"/>
    <col min="13057" max="13057" width="43.140625" customWidth="1"/>
    <col min="13058" max="13058" width="30.85546875" customWidth="1"/>
    <col min="13059" max="13062" width="17.7109375" customWidth="1"/>
    <col min="13063" max="13063" width="19.42578125" customWidth="1"/>
    <col min="13064" max="13067" width="17.7109375" customWidth="1"/>
    <col min="13313" max="13313" width="43.140625" customWidth="1"/>
    <col min="13314" max="13314" width="30.85546875" customWidth="1"/>
    <col min="13315" max="13318" width="17.7109375" customWidth="1"/>
    <col min="13319" max="13319" width="19.42578125" customWidth="1"/>
    <col min="13320" max="13323" width="17.7109375" customWidth="1"/>
    <col min="13569" max="13569" width="43.140625" customWidth="1"/>
    <col min="13570" max="13570" width="30.85546875" customWidth="1"/>
    <col min="13571" max="13574" width="17.7109375" customWidth="1"/>
    <col min="13575" max="13575" width="19.42578125" customWidth="1"/>
    <col min="13576" max="13579" width="17.7109375" customWidth="1"/>
    <col min="13825" max="13825" width="43.140625" customWidth="1"/>
    <col min="13826" max="13826" width="30.85546875" customWidth="1"/>
    <col min="13827" max="13830" width="17.7109375" customWidth="1"/>
    <col min="13831" max="13831" width="19.42578125" customWidth="1"/>
    <col min="13832" max="13835" width="17.7109375" customWidth="1"/>
    <col min="14081" max="14081" width="43.140625" customWidth="1"/>
    <col min="14082" max="14082" width="30.85546875" customWidth="1"/>
    <col min="14083" max="14086" width="17.7109375" customWidth="1"/>
    <col min="14087" max="14087" width="19.42578125" customWidth="1"/>
    <col min="14088" max="14091" width="17.7109375" customWidth="1"/>
    <col min="14337" max="14337" width="43.140625" customWidth="1"/>
    <col min="14338" max="14338" width="30.85546875" customWidth="1"/>
    <col min="14339" max="14342" width="17.7109375" customWidth="1"/>
    <col min="14343" max="14343" width="19.42578125" customWidth="1"/>
    <col min="14344" max="14347" width="17.7109375" customWidth="1"/>
    <col min="14593" max="14593" width="43.140625" customWidth="1"/>
    <col min="14594" max="14594" width="30.85546875" customWidth="1"/>
    <col min="14595" max="14598" width="17.7109375" customWidth="1"/>
    <col min="14599" max="14599" width="19.42578125" customWidth="1"/>
    <col min="14600" max="14603" width="17.7109375" customWidth="1"/>
    <col min="14849" max="14849" width="43.140625" customWidth="1"/>
    <col min="14850" max="14850" width="30.85546875" customWidth="1"/>
    <col min="14851" max="14854" width="17.7109375" customWidth="1"/>
    <col min="14855" max="14855" width="19.42578125" customWidth="1"/>
    <col min="14856" max="14859" width="17.7109375" customWidth="1"/>
    <col min="15105" max="15105" width="43.140625" customWidth="1"/>
    <col min="15106" max="15106" width="30.85546875" customWidth="1"/>
    <col min="15107" max="15110" width="17.7109375" customWidth="1"/>
    <col min="15111" max="15111" width="19.42578125" customWidth="1"/>
    <col min="15112" max="15115" width="17.7109375" customWidth="1"/>
    <col min="15361" max="15361" width="43.140625" customWidth="1"/>
    <col min="15362" max="15362" width="30.85546875" customWidth="1"/>
    <col min="15363" max="15366" width="17.7109375" customWidth="1"/>
    <col min="15367" max="15367" width="19.42578125" customWidth="1"/>
    <col min="15368" max="15371" width="17.7109375" customWidth="1"/>
    <col min="15617" max="15617" width="43.140625" customWidth="1"/>
    <col min="15618" max="15618" width="30.85546875" customWidth="1"/>
    <col min="15619" max="15622" width="17.7109375" customWidth="1"/>
    <col min="15623" max="15623" width="19.42578125" customWidth="1"/>
    <col min="15624" max="15627" width="17.7109375" customWidth="1"/>
    <col min="15873" max="15873" width="43.140625" customWidth="1"/>
    <col min="15874" max="15874" width="30.85546875" customWidth="1"/>
    <col min="15875" max="15878" width="17.7109375" customWidth="1"/>
    <col min="15879" max="15879" width="19.42578125" customWidth="1"/>
    <col min="15880" max="15883" width="17.7109375" customWidth="1"/>
    <col min="16129" max="16129" width="43.140625" customWidth="1"/>
    <col min="16130" max="16130" width="30.85546875" customWidth="1"/>
    <col min="16131" max="16134" width="17.7109375" customWidth="1"/>
    <col min="16135" max="16135" width="19.42578125" customWidth="1"/>
    <col min="16136" max="16139" width="17.7109375" customWidth="1"/>
  </cols>
  <sheetData>
    <row r="1" spans="1:11" s="177" customFormat="1" ht="21" customHeight="1">
      <c r="A1" s="175" t="s">
        <v>235</v>
      </c>
      <c r="B1" s="176"/>
    </row>
    <row r="2" spans="1:11" s="177" customFormat="1" ht="19.5" customHeight="1">
      <c r="A2" s="178" t="s">
        <v>1464</v>
      </c>
      <c r="B2" s="176"/>
      <c r="C2" s="179"/>
      <c r="D2" s="179"/>
      <c r="E2" s="179"/>
      <c r="F2" s="179"/>
      <c r="G2" s="179"/>
      <c r="H2" s="179"/>
      <c r="I2" s="179"/>
      <c r="J2" s="179"/>
      <c r="K2" s="180" t="s">
        <v>234</v>
      </c>
    </row>
    <row r="3" spans="1:11" s="177" customFormat="1" ht="22.5" customHeight="1">
      <c r="A3" s="181" t="s">
        <v>238</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hidden="1">
      <c r="A5" s="247"/>
      <c r="B5" s="176"/>
      <c r="C5" s="179"/>
      <c r="D5" s="179"/>
      <c r="E5" s="179"/>
      <c r="F5" s="179"/>
      <c r="G5" s="179"/>
      <c r="H5" s="179"/>
      <c r="I5" s="179"/>
      <c r="J5" s="179"/>
      <c r="K5" s="179"/>
    </row>
    <row r="6" spans="1:11" s="177" customFormat="1" ht="21.75" hidden="1" customHeight="1">
      <c r="A6" s="413" t="s">
        <v>1465</v>
      </c>
      <c r="B6" s="414"/>
      <c r="C6" s="414"/>
      <c r="D6" s="414"/>
      <c r="E6" s="179"/>
      <c r="F6" s="179"/>
      <c r="G6" s="179"/>
      <c r="H6" s="179"/>
      <c r="I6" s="179"/>
      <c r="J6" s="179"/>
      <c r="K6" s="179"/>
    </row>
    <row r="7" spans="1:11" s="177" customFormat="1" ht="21.75" hidden="1" customHeight="1">
      <c r="A7" s="179"/>
      <c r="B7" s="179"/>
      <c r="C7" s="179"/>
      <c r="D7" s="179"/>
      <c r="E7" s="179"/>
      <c r="F7" s="179"/>
      <c r="G7" s="179"/>
      <c r="H7" s="179"/>
      <c r="I7" s="179"/>
      <c r="J7" s="179"/>
      <c r="K7" s="179"/>
    </row>
    <row r="8" spans="1:11" s="177" customFormat="1" ht="21.75" hidden="1" customHeight="1">
      <c r="A8" s="415" t="s">
        <v>614</v>
      </c>
      <c r="B8" s="415" t="s">
        <v>615</v>
      </c>
      <c r="C8" s="179"/>
      <c r="D8" s="179"/>
      <c r="E8" s="179"/>
      <c r="F8" s="179"/>
      <c r="G8" s="179"/>
      <c r="H8" s="179"/>
      <c r="I8" s="179"/>
      <c r="J8" s="179"/>
      <c r="K8" s="179"/>
    </row>
    <row r="9" spans="1:11" s="177" customFormat="1" ht="36.75" hidden="1" customHeight="1">
      <c r="A9" s="1388" t="s">
        <v>616</v>
      </c>
      <c r="B9" s="1389"/>
      <c r="C9" s="1389"/>
      <c r="D9" s="1389"/>
      <c r="E9" s="1389"/>
      <c r="F9" s="1389"/>
      <c r="G9" s="179"/>
      <c r="H9" s="179"/>
      <c r="I9" s="179"/>
      <c r="J9" s="179"/>
      <c r="K9" s="179"/>
    </row>
    <row r="10" spans="1:11" s="177" customFormat="1" ht="20.25" hidden="1" customHeight="1">
      <c r="A10" s="415" t="s">
        <v>617</v>
      </c>
      <c r="B10" s="176"/>
      <c r="C10" s="176"/>
      <c r="D10" s="176"/>
      <c r="E10" s="176"/>
      <c r="F10" s="176"/>
      <c r="G10" s="179"/>
      <c r="H10" s="179"/>
      <c r="I10" s="179"/>
      <c r="J10" s="179"/>
      <c r="K10" s="179"/>
    </row>
    <row r="11" spans="1:11" s="177" customFormat="1" ht="22.5" hidden="1" customHeight="1">
      <c r="A11" s="415" t="s">
        <v>618</v>
      </c>
      <c r="B11" s="416"/>
      <c r="C11" s="416"/>
      <c r="D11" s="416"/>
      <c r="E11" s="416"/>
      <c r="F11" s="416"/>
    </row>
    <row r="12" spans="1:11" s="177" customFormat="1" ht="23.25" hidden="1" customHeight="1">
      <c r="A12" s="415" t="s">
        <v>619</v>
      </c>
      <c r="B12" s="416"/>
      <c r="C12" s="416"/>
      <c r="D12" s="418"/>
      <c r="E12" s="1390"/>
      <c r="F12" s="1390"/>
      <c r="G12" s="248"/>
      <c r="H12" s="1391"/>
      <c r="I12" s="1391"/>
      <c r="K12" s="419"/>
    </row>
    <row r="13" spans="1:11" s="177" customFormat="1" ht="18.75" hidden="1" customHeight="1">
      <c r="A13" s="415"/>
      <c r="B13" s="416"/>
      <c r="C13" s="416"/>
      <c r="D13" s="418"/>
      <c r="E13" s="418"/>
      <c r="F13" s="418"/>
      <c r="G13" s="248"/>
      <c r="H13" s="419"/>
      <c r="I13" s="419"/>
      <c r="K13" s="419"/>
    </row>
    <row r="14" spans="1:11" s="177" customFormat="1" ht="18.75" hidden="1" customHeight="1">
      <c r="A14" s="248"/>
      <c r="D14" s="419"/>
      <c r="E14" s="419"/>
      <c r="F14" s="419"/>
      <c r="G14" s="248"/>
      <c r="H14" s="419"/>
      <c r="I14" s="419"/>
      <c r="K14" s="419"/>
    </row>
    <row r="15" spans="1:11" s="177" customFormat="1">
      <c r="A15" s="184" t="s">
        <v>228</v>
      </c>
      <c r="B15" s="184" t="s">
        <v>227</v>
      </c>
      <c r="C15" s="184" t="s">
        <v>226</v>
      </c>
      <c r="D15" s="184"/>
      <c r="E15" s="183" t="s">
        <v>225</v>
      </c>
      <c r="F15" s="183"/>
      <c r="G15" s="184" t="s">
        <v>224</v>
      </c>
      <c r="H15" s="1381" t="s">
        <v>223</v>
      </c>
      <c r="I15" s="1381"/>
      <c r="J15" s="184" t="s">
        <v>222</v>
      </c>
      <c r="K15" s="184" t="s">
        <v>221</v>
      </c>
    </row>
    <row r="16" spans="1:11" s="186" customFormat="1">
      <c r="A16" s="1382" t="s">
        <v>220</v>
      </c>
      <c r="B16" s="1379" t="s">
        <v>219</v>
      </c>
      <c r="C16" s="1379" t="s">
        <v>218</v>
      </c>
      <c r="D16" s="1379" t="s">
        <v>217</v>
      </c>
      <c r="E16" s="1379" t="s">
        <v>216</v>
      </c>
      <c r="F16" s="1379"/>
      <c r="G16" s="1379" t="s">
        <v>215</v>
      </c>
      <c r="H16" s="1379" t="s">
        <v>214</v>
      </c>
      <c r="I16" s="1379"/>
      <c r="J16" s="1379" t="s">
        <v>240</v>
      </c>
      <c r="K16" s="1380" t="s">
        <v>212</v>
      </c>
    </row>
    <row r="17" spans="1:11" s="186" customFormat="1">
      <c r="A17" s="1382"/>
      <c r="B17" s="1379"/>
      <c r="C17" s="1379"/>
      <c r="D17" s="1379"/>
      <c r="E17" s="187" t="s">
        <v>211</v>
      </c>
      <c r="F17" s="187" t="s">
        <v>210</v>
      </c>
      <c r="G17" s="1379"/>
      <c r="H17" s="187" t="s">
        <v>211</v>
      </c>
      <c r="I17" s="187" t="s">
        <v>210</v>
      </c>
      <c r="J17" s="1379"/>
      <c r="K17" s="1380"/>
    </row>
    <row r="18" spans="1:11" ht="15.95" customHeight="1">
      <c r="A18" s="188" t="s">
        <v>208</v>
      </c>
      <c r="B18" s="189"/>
      <c r="C18" s="189"/>
      <c r="D18" s="189"/>
      <c r="E18" s="189"/>
      <c r="F18" s="189"/>
      <c r="G18" s="189"/>
      <c r="H18" s="189"/>
      <c r="I18" s="189"/>
      <c r="J18" s="189"/>
      <c r="K18" s="190">
        <f>SUM(K19)</f>
        <v>0</v>
      </c>
    </row>
    <row r="19" spans="1:11" ht="19.5" customHeight="1">
      <c r="A19" s="192"/>
      <c r="B19" s="193"/>
      <c r="C19" s="193"/>
      <c r="D19" s="194"/>
      <c r="E19" s="194"/>
      <c r="F19" s="194"/>
      <c r="G19" s="193"/>
      <c r="H19" s="193"/>
      <c r="I19" s="193"/>
      <c r="J19" s="193"/>
      <c r="K19" s="195"/>
    </row>
    <row r="20" spans="1:11" ht="15.95" customHeight="1">
      <c r="A20" s="188" t="s">
        <v>207</v>
      </c>
      <c r="B20" s="189"/>
      <c r="C20" s="189"/>
      <c r="D20" s="196"/>
      <c r="E20" s="196"/>
      <c r="F20" s="196"/>
      <c r="G20" s="189"/>
      <c r="H20" s="189"/>
      <c r="I20" s="189"/>
      <c r="J20" s="189"/>
      <c r="K20" s="190">
        <f>SUM(K21:K30)</f>
        <v>43388622.719999999</v>
      </c>
    </row>
    <row r="21" spans="1:11" ht="15.95" customHeight="1">
      <c r="A21" s="192" t="s">
        <v>1466</v>
      </c>
      <c r="B21" s="193" t="s">
        <v>1467</v>
      </c>
      <c r="C21" s="193" t="s">
        <v>345</v>
      </c>
      <c r="D21" s="285">
        <v>1.4999999999999999E-2</v>
      </c>
      <c r="E21" s="557">
        <v>5.0000000000000001E-3</v>
      </c>
      <c r="F21" s="236">
        <v>0.06</v>
      </c>
      <c r="G21" s="237" t="s">
        <v>185</v>
      </c>
      <c r="H21" s="237" t="s">
        <v>185</v>
      </c>
      <c r="I21" s="237" t="s">
        <v>185</v>
      </c>
      <c r="J21" s="193" t="s">
        <v>1468</v>
      </c>
      <c r="K21" s="261">
        <v>18244143.199999999</v>
      </c>
    </row>
    <row r="22" spans="1:11" ht="15.95" customHeight="1">
      <c r="A22" s="192" t="s">
        <v>1469</v>
      </c>
      <c r="B22" s="193" t="s">
        <v>1470</v>
      </c>
      <c r="C22" s="193" t="s">
        <v>345</v>
      </c>
      <c r="D22" s="557">
        <v>7.1999999999999998E-3</v>
      </c>
      <c r="E22" s="236"/>
      <c r="F22" s="236"/>
      <c r="G22" s="237"/>
      <c r="H22" s="237" t="s">
        <v>185</v>
      </c>
      <c r="I22" s="237" t="s">
        <v>185</v>
      </c>
      <c r="J22" s="193" t="s">
        <v>1468</v>
      </c>
      <c r="K22" s="261">
        <v>13456575.529999999</v>
      </c>
    </row>
    <row r="23" spans="1:11" ht="15.95" customHeight="1">
      <c r="A23" s="192" t="s">
        <v>1471</v>
      </c>
      <c r="B23" s="193" t="s">
        <v>1470</v>
      </c>
      <c r="C23" s="193" t="s">
        <v>345</v>
      </c>
      <c r="D23" s="236" t="s">
        <v>490</v>
      </c>
      <c r="E23" s="236"/>
      <c r="F23" s="236"/>
      <c r="G23" s="237"/>
      <c r="H23" s="261">
        <v>225</v>
      </c>
      <c r="I23" s="261">
        <v>690</v>
      </c>
      <c r="J23" s="193" t="s">
        <v>1468</v>
      </c>
      <c r="K23" s="261">
        <v>11674303.99</v>
      </c>
    </row>
    <row r="24" spans="1:11" ht="15.95" customHeight="1">
      <c r="A24" s="192" t="s">
        <v>1472</v>
      </c>
      <c r="B24" s="193" t="s">
        <v>1473</v>
      </c>
      <c r="C24" s="193" t="s">
        <v>468</v>
      </c>
      <c r="D24" s="236">
        <v>0.05</v>
      </c>
      <c r="E24" s="236">
        <v>0.05</v>
      </c>
      <c r="F24" s="236">
        <v>0.1</v>
      </c>
      <c r="G24" s="261"/>
      <c r="H24" s="261">
        <v>220</v>
      </c>
      <c r="I24" s="261">
        <v>440</v>
      </c>
      <c r="J24" s="193" t="s">
        <v>1468</v>
      </c>
      <c r="K24" s="261">
        <v>13600</v>
      </c>
    </row>
    <row r="25" spans="1:11" ht="15.95" customHeight="1">
      <c r="A25" s="192"/>
      <c r="B25" s="193"/>
      <c r="C25" s="193"/>
      <c r="D25" s="194"/>
      <c r="E25" s="194"/>
      <c r="F25" s="194"/>
      <c r="G25" s="193"/>
      <c r="H25" s="193"/>
      <c r="I25" s="193"/>
      <c r="J25" s="193"/>
      <c r="K25" s="195"/>
    </row>
    <row r="26" spans="1:11" ht="15.95" customHeight="1">
      <c r="A26" s="192"/>
      <c r="B26" s="193"/>
      <c r="C26" s="193"/>
      <c r="D26" s="194"/>
      <c r="E26" s="194"/>
      <c r="F26" s="194"/>
      <c r="G26" s="193"/>
      <c r="H26" s="193"/>
      <c r="I26" s="193"/>
      <c r="J26" s="193"/>
      <c r="K26" s="195"/>
    </row>
    <row r="27" spans="1:11" ht="15.95" customHeight="1">
      <c r="A27" s="192"/>
      <c r="B27" s="193"/>
      <c r="C27" s="193"/>
      <c r="D27" s="194"/>
      <c r="E27" s="194"/>
      <c r="F27" s="194"/>
      <c r="G27" s="193"/>
      <c r="H27" s="193"/>
      <c r="I27" s="193"/>
      <c r="J27" s="193"/>
      <c r="K27" s="195"/>
    </row>
    <row r="28" spans="1:11" ht="15.95" customHeight="1">
      <c r="A28" s="192"/>
      <c r="B28" s="193"/>
      <c r="C28" s="193"/>
      <c r="D28" s="194"/>
      <c r="E28" s="194"/>
      <c r="F28" s="194"/>
      <c r="G28" s="193"/>
      <c r="H28" s="193"/>
      <c r="I28" s="193"/>
      <c r="J28" s="193"/>
      <c r="K28" s="195"/>
    </row>
    <row r="29" spans="1:11" ht="15.95" customHeight="1">
      <c r="A29" s="192"/>
      <c r="B29" s="193"/>
      <c r="C29" s="193"/>
      <c r="D29" s="194"/>
      <c r="E29" s="194"/>
      <c r="F29" s="194"/>
      <c r="G29" s="193"/>
      <c r="H29" s="193"/>
      <c r="I29" s="193"/>
      <c r="J29" s="193"/>
      <c r="K29" s="195"/>
    </row>
    <row r="30" spans="1:11" ht="15.95" customHeight="1">
      <c r="A30" s="192"/>
      <c r="B30" s="193"/>
      <c r="C30" s="193"/>
      <c r="D30" s="194"/>
      <c r="E30" s="194"/>
      <c r="F30" s="194"/>
      <c r="G30" s="193"/>
      <c r="H30" s="193"/>
      <c r="I30" s="193"/>
      <c r="J30" s="193"/>
      <c r="K30" s="195"/>
    </row>
    <row r="31" spans="1:11" s="177" customFormat="1" ht="15.95" customHeight="1">
      <c r="A31" s="209" t="s">
        <v>191</v>
      </c>
      <c r="B31" s="210"/>
      <c r="C31" s="210"/>
      <c r="D31" s="211"/>
      <c r="E31" s="211"/>
      <c r="F31" s="211"/>
      <c r="G31" s="210"/>
      <c r="H31" s="210"/>
      <c r="I31" s="210"/>
      <c r="J31" s="210"/>
      <c r="K31" s="213">
        <f>SUM(K32:K33)</f>
        <v>544.72</v>
      </c>
    </row>
    <row r="32" spans="1:11" s="177" customFormat="1" ht="15.95" customHeight="1">
      <c r="A32" s="192" t="s">
        <v>1474</v>
      </c>
      <c r="B32" s="217" t="s">
        <v>356</v>
      </c>
      <c r="C32" s="217"/>
      <c r="D32" s="216"/>
      <c r="E32" s="216"/>
      <c r="F32" s="216"/>
      <c r="G32" s="217"/>
      <c r="H32" s="217"/>
      <c r="I32" s="217"/>
      <c r="J32" s="193" t="s">
        <v>1468</v>
      </c>
      <c r="K32" s="911">
        <v>544.72</v>
      </c>
    </row>
    <row r="33" spans="1:11" s="177" customFormat="1" ht="15.95" customHeight="1">
      <c r="A33" s="192"/>
      <c r="B33" s="217"/>
      <c r="C33" s="217"/>
      <c r="D33" s="216"/>
      <c r="E33" s="216"/>
      <c r="F33" s="216"/>
      <c r="G33" s="217"/>
      <c r="H33" s="217"/>
      <c r="I33" s="217"/>
      <c r="J33" s="217"/>
      <c r="K33" s="219"/>
    </row>
    <row r="34" spans="1:11" ht="15.95" customHeight="1">
      <c r="A34" s="188" t="s">
        <v>179</v>
      </c>
      <c r="B34" s="189"/>
      <c r="C34" s="189"/>
      <c r="D34" s="196"/>
      <c r="E34" s="196"/>
      <c r="F34" s="196"/>
      <c r="G34" s="189"/>
      <c r="H34" s="189"/>
      <c r="I34" s="189"/>
      <c r="J34" s="189"/>
      <c r="K34" s="190">
        <f>SUM(K35:K41)</f>
        <v>1055021.67</v>
      </c>
    </row>
    <row r="35" spans="1:11" ht="15.95" customHeight="1">
      <c r="A35" s="192" t="s">
        <v>1475</v>
      </c>
      <c r="B35" s="193" t="s">
        <v>1476</v>
      </c>
      <c r="C35" s="193"/>
      <c r="D35" s="194"/>
      <c r="E35" s="194"/>
      <c r="F35" s="194"/>
      <c r="G35" s="193"/>
      <c r="H35" s="424">
        <v>2E-3</v>
      </c>
      <c r="I35" s="194">
        <v>0.1</v>
      </c>
      <c r="J35" s="193" t="s">
        <v>1468</v>
      </c>
      <c r="K35" s="261">
        <v>329532.17</v>
      </c>
    </row>
    <row r="36" spans="1:11" ht="15.95" customHeight="1">
      <c r="A36" s="192" t="s">
        <v>155</v>
      </c>
      <c r="B36" s="193" t="s">
        <v>1477</v>
      </c>
      <c r="C36" s="193" t="s">
        <v>468</v>
      </c>
      <c r="D36" s="194"/>
      <c r="E36" s="194"/>
      <c r="F36" s="194"/>
      <c r="G36" s="237"/>
      <c r="H36" s="261">
        <v>830</v>
      </c>
      <c r="I36" s="261">
        <v>2470</v>
      </c>
      <c r="J36" s="193" t="s">
        <v>1468</v>
      </c>
      <c r="K36" s="261">
        <v>5905</v>
      </c>
    </row>
    <row r="37" spans="1:11" ht="15.95" customHeight="1">
      <c r="A37" s="192" t="s">
        <v>1478</v>
      </c>
      <c r="B37" s="193" t="s">
        <v>1479</v>
      </c>
      <c r="C37" s="193" t="s">
        <v>1480</v>
      </c>
      <c r="D37" s="194"/>
      <c r="E37" s="194"/>
      <c r="F37" s="194"/>
      <c r="G37" s="193"/>
      <c r="H37" s="195">
        <v>4</v>
      </c>
      <c r="I37" s="195">
        <v>3210</v>
      </c>
      <c r="J37" s="193" t="s">
        <v>1468</v>
      </c>
      <c r="K37" s="261">
        <v>719584.5</v>
      </c>
    </row>
    <row r="38" spans="1:11" ht="15.95" customHeight="1">
      <c r="A38" s="192"/>
      <c r="B38" s="193"/>
      <c r="C38" s="193"/>
      <c r="D38" s="194"/>
      <c r="E38" s="194"/>
      <c r="F38" s="194"/>
      <c r="G38" s="193"/>
      <c r="H38" s="193"/>
      <c r="I38" s="193"/>
      <c r="J38" s="193"/>
      <c r="K38" s="195"/>
    </row>
    <row r="39" spans="1:11" ht="15.95" customHeight="1">
      <c r="A39" s="192"/>
      <c r="B39" s="193"/>
      <c r="C39" s="193"/>
      <c r="D39" s="194"/>
      <c r="E39" s="194"/>
      <c r="F39" s="194"/>
      <c r="G39" s="193"/>
      <c r="H39" s="193"/>
      <c r="I39" s="193"/>
      <c r="J39" s="193"/>
      <c r="K39" s="195"/>
    </row>
    <row r="40" spans="1:11" ht="15.95" customHeight="1">
      <c r="A40" s="192"/>
      <c r="B40" s="193"/>
      <c r="C40" s="193"/>
      <c r="D40" s="194"/>
      <c r="E40" s="194"/>
      <c r="F40" s="194"/>
      <c r="G40" s="193"/>
      <c r="H40" s="193"/>
      <c r="I40" s="193"/>
      <c r="J40" s="193"/>
      <c r="K40" s="195"/>
    </row>
    <row r="41" spans="1:11" ht="15.95" customHeight="1">
      <c r="A41" s="192"/>
      <c r="B41" s="193"/>
      <c r="C41" s="193"/>
      <c r="D41" s="194"/>
      <c r="E41" s="194"/>
      <c r="F41" s="194"/>
      <c r="G41" s="193"/>
      <c r="H41" s="193"/>
      <c r="I41" s="193"/>
      <c r="J41" s="193"/>
      <c r="K41" s="195"/>
    </row>
    <row r="42" spans="1:11" ht="15.95" customHeight="1">
      <c r="A42" s="188" t="s">
        <v>152</v>
      </c>
      <c r="B42" s="189"/>
      <c r="C42" s="189"/>
      <c r="D42" s="196"/>
      <c r="E42" s="196"/>
      <c r="F42" s="196"/>
      <c r="G42" s="189"/>
      <c r="H42" s="189"/>
      <c r="I42" s="189"/>
      <c r="J42" s="189"/>
      <c r="K42" s="190">
        <f>SUM(K43:K45)</f>
        <v>0</v>
      </c>
    </row>
    <row r="43" spans="1:11" ht="15.95" customHeight="1">
      <c r="A43" s="256"/>
      <c r="B43" s="193"/>
      <c r="C43" s="193"/>
      <c r="D43" s="194"/>
      <c r="E43" s="194"/>
      <c r="F43" s="194"/>
      <c r="G43" s="193"/>
      <c r="H43" s="193"/>
      <c r="I43" s="193"/>
      <c r="J43" s="193"/>
      <c r="K43" s="195"/>
    </row>
    <row r="44" spans="1:11" ht="15.95" customHeight="1">
      <c r="A44" s="256"/>
      <c r="B44" s="193"/>
      <c r="C44" s="193"/>
      <c r="D44" s="194"/>
      <c r="E44" s="194"/>
      <c r="F44" s="194"/>
      <c r="G44" s="193"/>
      <c r="H44" s="193"/>
      <c r="I44" s="193"/>
      <c r="J44" s="193"/>
      <c r="K44" s="195"/>
    </row>
    <row r="45" spans="1:11" ht="15.95" customHeight="1">
      <c r="A45" s="256"/>
      <c r="B45" s="193"/>
      <c r="C45" s="193"/>
      <c r="D45" s="194"/>
      <c r="E45" s="194"/>
      <c r="F45" s="194"/>
      <c r="G45" s="193"/>
      <c r="H45" s="193"/>
      <c r="I45" s="193"/>
      <c r="J45" s="193"/>
      <c r="K45" s="195"/>
    </row>
    <row r="46" spans="1:11" ht="15.95" customHeight="1">
      <c r="A46" s="188" t="s">
        <v>151</v>
      </c>
      <c r="B46" s="189"/>
      <c r="C46" s="189"/>
      <c r="D46" s="196"/>
      <c r="E46" s="196"/>
      <c r="F46" s="196"/>
      <c r="G46" s="189"/>
      <c r="H46" s="189"/>
      <c r="I46" s="189"/>
      <c r="J46" s="189"/>
      <c r="K46" s="190">
        <f>SUM(K47:K47)</f>
        <v>284969.52</v>
      </c>
    </row>
    <row r="47" spans="1:11" ht="15.95" customHeight="1">
      <c r="A47" s="192" t="s">
        <v>548</v>
      </c>
      <c r="B47" s="193"/>
      <c r="C47" s="193"/>
      <c r="D47" s="194"/>
      <c r="E47" s="194"/>
      <c r="F47" s="194"/>
      <c r="G47" s="193"/>
      <c r="H47" s="193"/>
      <c r="I47" s="193"/>
      <c r="J47" s="193" t="s">
        <v>1468</v>
      </c>
      <c r="K47" s="261">
        <v>284969.52</v>
      </c>
    </row>
    <row r="48" spans="1:11" ht="15.95" customHeight="1">
      <c r="A48" s="192"/>
      <c r="B48" s="193"/>
      <c r="C48" s="193"/>
      <c r="D48" s="194"/>
      <c r="E48" s="194"/>
      <c r="F48" s="194"/>
      <c r="G48" s="193"/>
      <c r="H48" s="193"/>
      <c r="I48" s="193"/>
      <c r="J48" s="193"/>
      <c r="K48" s="261"/>
    </row>
    <row r="49" spans="1:11" s="177" customFormat="1" ht="15.95" customHeight="1">
      <c r="A49" s="209" t="s">
        <v>137</v>
      </c>
      <c r="B49" s="210"/>
      <c r="C49" s="210"/>
      <c r="D49" s="211"/>
      <c r="E49" s="211"/>
      <c r="F49" s="211"/>
      <c r="G49" s="210"/>
      <c r="H49" s="210"/>
      <c r="I49" s="210"/>
      <c r="J49" s="210"/>
      <c r="K49" s="213">
        <f>SUM(K52)</f>
        <v>0</v>
      </c>
    </row>
    <row r="50" spans="1:11" s="177" customFormat="1" ht="15.95" customHeight="1">
      <c r="A50" s="231" t="s">
        <v>1481</v>
      </c>
      <c r="B50" s="217" t="s">
        <v>1482</v>
      </c>
      <c r="C50" s="912"/>
      <c r="D50" s="216"/>
      <c r="E50" s="216"/>
      <c r="F50" s="216"/>
      <c r="G50" s="217"/>
      <c r="H50" s="217"/>
      <c r="I50" s="217"/>
      <c r="J50" s="217"/>
      <c r="K50" s="911">
        <v>0</v>
      </c>
    </row>
    <row r="51" spans="1:11" ht="15.95" customHeight="1">
      <c r="A51" s="231" t="s">
        <v>1483</v>
      </c>
      <c r="B51" s="217" t="s">
        <v>1482</v>
      </c>
      <c r="C51" s="912"/>
      <c r="D51" s="216"/>
      <c r="E51" s="216"/>
      <c r="F51" s="216"/>
      <c r="G51" s="217"/>
      <c r="H51" s="217"/>
      <c r="I51" s="217"/>
      <c r="J51" s="217"/>
      <c r="K51" s="911">
        <v>0</v>
      </c>
    </row>
    <row r="52" spans="1:11" ht="15.95" customHeight="1">
      <c r="A52" s="274"/>
      <c r="B52" s="217"/>
      <c r="C52" s="217"/>
      <c r="D52" s="216"/>
      <c r="E52" s="216"/>
      <c r="F52" s="216"/>
      <c r="G52" s="217"/>
      <c r="H52" s="217"/>
      <c r="I52" s="217"/>
      <c r="J52" s="217"/>
      <c r="K52" s="219"/>
    </row>
    <row r="53" spans="1:11" ht="15.95" customHeight="1">
      <c r="A53" s="188" t="s">
        <v>136</v>
      </c>
      <c r="B53" s="189"/>
      <c r="C53" s="189"/>
      <c r="D53" s="196"/>
      <c r="E53" s="196"/>
      <c r="F53" s="196"/>
      <c r="G53" s="189"/>
      <c r="H53" s="189"/>
      <c r="I53" s="189"/>
      <c r="J53" s="189"/>
      <c r="K53" s="190">
        <f>+K54+K55+K56+K57+K58</f>
        <v>7374284.96</v>
      </c>
    </row>
    <row r="54" spans="1:11">
      <c r="A54" s="192" t="s">
        <v>797</v>
      </c>
      <c r="B54" s="193" t="s">
        <v>1484</v>
      </c>
      <c r="C54" s="193" t="s">
        <v>352</v>
      </c>
      <c r="D54" s="236" t="s">
        <v>490</v>
      </c>
      <c r="E54" s="236"/>
      <c r="F54" s="236"/>
      <c r="G54" s="261">
        <v>1000</v>
      </c>
      <c r="H54" s="237"/>
      <c r="I54" s="237"/>
      <c r="J54" s="193" t="s">
        <v>1468</v>
      </c>
      <c r="K54" s="261">
        <v>240525</v>
      </c>
    </row>
    <row r="55" spans="1:11">
      <c r="A55" s="192" t="s">
        <v>165</v>
      </c>
      <c r="B55" s="193" t="s">
        <v>1485</v>
      </c>
      <c r="C55" s="193" t="s">
        <v>352</v>
      </c>
      <c r="D55" s="236" t="s">
        <v>490</v>
      </c>
      <c r="E55" s="236"/>
      <c r="F55" s="236"/>
      <c r="G55" s="237"/>
      <c r="H55" s="237"/>
      <c r="I55" s="237"/>
      <c r="J55" s="193" t="s">
        <v>1468</v>
      </c>
      <c r="K55" s="261">
        <v>1283741</v>
      </c>
    </row>
    <row r="56" spans="1:11">
      <c r="A56" s="192" t="s">
        <v>1486</v>
      </c>
      <c r="B56" s="193" t="s">
        <v>1487</v>
      </c>
      <c r="C56" s="193" t="s">
        <v>345</v>
      </c>
      <c r="D56" s="285">
        <v>0.03</v>
      </c>
      <c r="E56" s="913"/>
      <c r="F56" s="557"/>
      <c r="G56" s="237"/>
      <c r="H56" s="237"/>
      <c r="I56" s="237"/>
      <c r="J56" s="193" t="s">
        <v>1468</v>
      </c>
      <c r="K56" s="261">
        <v>3427277.46</v>
      </c>
    </row>
    <row r="57" spans="1:11">
      <c r="A57" s="192" t="s">
        <v>172</v>
      </c>
      <c r="B57" s="193" t="s">
        <v>1488</v>
      </c>
      <c r="C57" s="193"/>
      <c r="D57" s="285">
        <v>4.0000000000000001E-3</v>
      </c>
      <c r="E57" s="284"/>
      <c r="F57" s="236"/>
      <c r="G57" s="237"/>
      <c r="H57" s="237">
        <v>270</v>
      </c>
      <c r="I57" s="237">
        <v>5512</v>
      </c>
      <c r="J57" s="193" t="s">
        <v>1468</v>
      </c>
      <c r="K57" s="261">
        <v>2072873.5</v>
      </c>
    </row>
    <row r="58" spans="1:11">
      <c r="A58" s="192" t="s">
        <v>1029</v>
      </c>
      <c r="B58" s="193" t="s">
        <v>1489</v>
      </c>
      <c r="C58" s="193"/>
      <c r="D58" s="194"/>
      <c r="E58" s="194"/>
      <c r="F58" s="194"/>
      <c r="G58" s="193"/>
      <c r="H58" s="193">
        <v>1014</v>
      </c>
      <c r="I58" s="193">
        <v>6500</v>
      </c>
      <c r="J58" s="193" t="s">
        <v>1468</v>
      </c>
      <c r="K58" s="261">
        <v>349868</v>
      </c>
    </row>
    <row r="59" spans="1:11">
      <c r="A59" s="256"/>
      <c r="B59" s="193"/>
      <c r="C59" s="193"/>
      <c r="D59" s="194"/>
      <c r="E59" s="194"/>
      <c r="F59" s="194"/>
      <c r="G59" s="193"/>
      <c r="H59" s="193"/>
      <c r="I59" s="193"/>
      <c r="J59" s="193"/>
      <c r="K59" s="195"/>
    </row>
    <row r="60" spans="1:11">
      <c r="A60" s="241" t="s">
        <v>108</v>
      </c>
      <c r="B60" s="242"/>
      <c r="C60" s="242"/>
      <c r="D60" s="243"/>
      <c r="E60" s="243"/>
      <c r="F60" s="243"/>
      <c r="G60" s="242"/>
      <c r="H60" s="242"/>
      <c r="I60" s="242"/>
      <c r="J60" s="242"/>
      <c r="K60" s="276">
        <f>+K18+K20+K31+K34+K42+K46+K49+K53</f>
        <v>52103443.590000004</v>
      </c>
    </row>
    <row r="61" spans="1:11">
      <c r="A61" s="245"/>
      <c r="B61" s="246"/>
      <c r="C61" s="246"/>
      <c r="D61" s="246"/>
      <c r="E61" s="246"/>
      <c r="F61" s="246"/>
      <c r="G61" s="246"/>
      <c r="H61" s="246"/>
      <c r="I61" s="246"/>
      <c r="J61" s="246"/>
      <c r="K61" s="246"/>
    </row>
  </sheetData>
  <mergeCells count="13">
    <mergeCell ref="H16:I16"/>
    <mergeCell ref="J16:J17"/>
    <mergeCell ref="K16:K17"/>
    <mergeCell ref="A9:F9"/>
    <mergeCell ref="E12:F12"/>
    <mergeCell ref="H12:I12"/>
    <mergeCell ref="H15:I15"/>
    <mergeCell ref="A16:A17"/>
    <mergeCell ref="B16:B17"/>
    <mergeCell ref="C16:C17"/>
    <mergeCell ref="D16:D17"/>
    <mergeCell ref="E16:F16"/>
    <mergeCell ref="G16:G17"/>
  </mergeCells>
  <pageMargins left="0.70866141732283472" right="0.70866141732283472" top="0.74803149606299213" bottom="0.74803149606299213" header="0.31496062992125984" footer="0.31496062992125984"/>
  <pageSetup paperSize="9" scale="5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M58"/>
  <sheetViews>
    <sheetView showGridLines="0" zoomScaleNormal="100" workbookViewId="0"/>
  </sheetViews>
  <sheetFormatPr baseColWidth="10" defaultRowHeight="15"/>
  <cols>
    <col min="1" max="1" width="71" customWidth="1"/>
    <col min="2" max="6" width="17.7109375" customWidth="1"/>
    <col min="7" max="7" width="19.42578125" customWidth="1"/>
    <col min="8" max="10" width="17.7109375" customWidth="1"/>
    <col min="11" max="11" width="20.42578125" customWidth="1"/>
    <col min="13" max="13" width="21.28515625" customWidth="1"/>
    <col min="257" max="257" width="71" customWidth="1"/>
    <col min="258" max="262" width="17.7109375" customWidth="1"/>
    <col min="263" max="263" width="19.42578125" customWidth="1"/>
    <col min="264" max="266" width="17.7109375" customWidth="1"/>
    <col min="267" max="267" width="20.42578125" customWidth="1"/>
    <col min="269" max="269" width="21.28515625" customWidth="1"/>
    <col min="513" max="513" width="71" customWidth="1"/>
    <col min="514" max="518" width="17.7109375" customWidth="1"/>
    <col min="519" max="519" width="19.42578125" customWidth="1"/>
    <col min="520" max="522" width="17.7109375" customWidth="1"/>
    <col min="523" max="523" width="20.42578125" customWidth="1"/>
    <col min="525" max="525" width="21.28515625" customWidth="1"/>
    <col min="769" max="769" width="71" customWidth="1"/>
    <col min="770" max="774" width="17.7109375" customWidth="1"/>
    <col min="775" max="775" width="19.42578125" customWidth="1"/>
    <col min="776" max="778" width="17.7109375" customWidth="1"/>
    <col min="779" max="779" width="20.42578125" customWidth="1"/>
    <col min="781" max="781" width="21.28515625" customWidth="1"/>
    <col min="1025" max="1025" width="71" customWidth="1"/>
    <col min="1026" max="1030" width="17.7109375" customWidth="1"/>
    <col min="1031" max="1031" width="19.42578125" customWidth="1"/>
    <col min="1032" max="1034" width="17.7109375" customWidth="1"/>
    <col min="1035" max="1035" width="20.42578125" customWidth="1"/>
    <col min="1037" max="1037" width="21.28515625" customWidth="1"/>
    <col min="1281" max="1281" width="71" customWidth="1"/>
    <col min="1282" max="1286" width="17.7109375" customWidth="1"/>
    <col min="1287" max="1287" width="19.42578125" customWidth="1"/>
    <col min="1288" max="1290" width="17.7109375" customWidth="1"/>
    <col min="1291" max="1291" width="20.42578125" customWidth="1"/>
    <col min="1293" max="1293" width="21.28515625" customWidth="1"/>
    <col min="1537" max="1537" width="71" customWidth="1"/>
    <col min="1538" max="1542" width="17.7109375" customWidth="1"/>
    <col min="1543" max="1543" width="19.42578125" customWidth="1"/>
    <col min="1544" max="1546" width="17.7109375" customWidth="1"/>
    <col min="1547" max="1547" width="20.42578125" customWidth="1"/>
    <col min="1549" max="1549" width="21.28515625" customWidth="1"/>
    <col min="1793" max="1793" width="71" customWidth="1"/>
    <col min="1794" max="1798" width="17.7109375" customWidth="1"/>
    <col min="1799" max="1799" width="19.42578125" customWidth="1"/>
    <col min="1800" max="1802" width="17.7109375" customWidth="1"/>
    <col min="1803" max="1803" width="20.42578125" customWidth="1"/>
    <col min="1805" max="1805" width="21.28515625" customWidth="1"/>
    <col min="2049" max="2049" width="71" customWidth="1"/>
    <col min="2050" max="2054" width="17.7109375" customWidth="1"/>
    <col min="2055" max="2055" width="19.42578125" customWidth="1"/>
    <col min="2056" max="2058" width="17.7109375" customWidth="1"/>
    <col min="2059" max="2059" width="20.42578125" customWidth="1"/>
    <col min="2061" max="2061" width="21.28515625" customWidth="1"/>
    <col min="2305" max="2305" width="71" customWidth="1"/>
    <col min="2306" max="2310" width="17.7109375" customWidth="1"/>
    <col min="2311" max="2311" width="19.42578125" customWidth="1"/>
    <col min="2312" max="2314" width="17.7109375" customWidth="1"/>
    <col min="2315" max="2315" width="20.42578125" customWidth="1"/>
    <col min="2317" max="2317" width="21.28515625" customWidth="1"/>
    <col min="2561" max="2561" width="71" customWidth="1"/>
    <col min="2562" max="2566" width="17.7109375" customWidth="1"/>
    <col min="2567" max="2567" width="19.42578125" customWidth="1"/>
    <col min="2568" max="2570" width="17.7109375" customWidth="1"/>
    <col min="2571" max="2571" width="20.42578125" customWidth="1"/>
    <col min="2573" max="2573" width="21.28515625" customWidth="1"/>
    <col min="2817" max="2817" width="71" customWidth="1"/>
    <col min="2818" max="2822" width="17.7109375" customWidth="1"/>
    <col min="2823" max="2823" width="19.42578125" customWidth="1"/>
    <col min="2824" max="2826" width="17.7109375" customWidth="1"/>
    <col min="2827" max="2827" width="20.42578125" customWidth="1"/>
    <col min="2829" max="2829" width="21.28515625" customWidth="1"/>
    <col min="3073" max="3073" width="71" customWidth="1"/>
    <col min="3074" max="3078" width="17.7109375" customWidth="1"/>
    <col min="3079" max="3079" width="19.42578125" customWidth="1"/>
    <col min="3080" max="3082" width="17.7109375" customWidth="1"/>
    <col min="3083" max="3083" width="20.42578125" customWidth="1"/>
    <col min="3085" max="3085" width="21.28515625" customWidth="1"/>
    <col min="3329" max="3329" width="71" customWidth="1"/>
    <col min="3330" max="3334" width="17.7109375" customWidth="1"/>
    <col min="3335" max="3335" width="19.42578125" customWidth="1"/>
    <col min="3336" max="3338" width="17.7109375" customWidth="1"/>
    <col min="3339" max="3339" width="20.42578125" customWidth="1"/>
    <col min="3341" max="3341" width="21.28515625" customWidth="1"/>
    <col min="3585" max="3585" width="71" customWidth="1"/>
    <col min="3586" max="3590" width="17.7109375" customWidth="1"/>
    <col min="3591" max="3591" width="19.42578125" customWidth="1"/>
    <col min="3592" max="3594" width="17.7109375" customWidth="1"/>
    <col min="3595" max="3595" width="20.42578125" customWidth="1"/>
    <col min="3597" max="3597" width="21.28515625" customWidth="1"/>
    <col min="3841" max="3841" width="71" customWidth="1"/>
    <col min="3842" max="3846" width="17.7109375" customWidth="1"/>
    <col min="3847" max="3847" width="19.42578125" customWidth="1"/>
    <col min="3848" max="3850" width="17.7109375" customWidth="1"/>
    <col min="3851" max="3851" width="20.42578125" customWidth="1"/>
    <col min="3853" max="3853" width="21.28515625" customWidth="1"/>
    <col min="4097" max="4097" width="71" customWidth="1"/>
    <col min="4098" max="4102" width="17.7109375" customWidth="1"/>
    <col min="4103" max="4103" width="19.42578125" customWidth="1"/>
    <col min="4104" max="4106" width="17.7109375" customWidth="1"/>
    <col min="4107" max="4107" width="20.42578125" customWidth="1"/>
    <col min="4109" max="4109" width="21.28515625" customWidth="1"/>
    <col min="4353" max="4353" width="71" customWidth="1"/>
    <col min="4354" max="4358" width="17.7109375" customWidth="1"/>
    <col min="4359" max="4359" width="19.42578125" customWidth="1"/>
    <col min="4360" max="4362" width="17.7109375" customWidth="1"/>
    <col min="4363" max="4363" width="20.42578125" customWidth="1"/>
    <col min="4365" max="4365" width="21.28515625" customWidth="1"/>
    <col min="4609" max="4609" width="71" customWidth="1"/>
    <col min="4610" max="4614" width="17.7109375" customWidth="1"/>
    <col min="4615" max="4615" width="19.42578125" customWidth="1"/>
    <col min="4616" max="4618" width="17.7109375" customWidth="1"/>
    <col min="4619" max="4619" width="20.42578125" customWidth="1"/>
    <col min="4621" max="4621" width="21.28515625" customWidth="1"/>
    <col min="4865" max="4865" width="71" customWidth="1"/>
    <col min="4866" max="4870" width="17.7109375" customWidth="1"/>
    <col min="4871" max="4871" width="19.42578125" customWidth="1"/>
    <col min="4872" max="4874" width="17.7109375" customWidth="1"/>
    <col min="4875" max="4875" width="20.42578125" customWidth="1"/>
    <col min="4877" max="4877" width="21.28515625" customWidth="1"/>
    <col min="5121" max="5121" width="71" customWidth="1"/>
    <col min="5122" max="5126" width="17.7109375" customWidth="1"/>
    <col min="5127" max="5127" width="19.42578125" customWidth="1"/>
    <col min="5128" max="5130" width="17.7109375" customWidth="1"/>
    <col min="5131" max="5131" width="20.42578125" customWidth="1"/>
    <col min="5133" max="5133" width="21.28515625" customWidth="1"/>
    <col min="5377" max="5377" width="71" customWidth="1"/>
    <col min="5378" max="5382" width="17.7109375" customWidth="1"/>
    <col min="5383" max="5383" width="19.42578125" customWidth="1"/>
    <col min="5384" max="5386" width="17.7109375" customWidth="1"/>
    <col min="5387" max="5387" width="20.42578125" customWidth="1"/>
    <col min="5389" max="5389" width="21.28515625" customWidth="1"/>
    <col min="5633" max="5633" width="71" customWidth="1"/>
    <col min="5634" max="5638" width="17.7109375" customWidth="1"/>
    <col min="5639" max="5639" width="19.42578125" customWidth="1"/>
    <col min="5640" max="5642" width="17.7109375" customWidth="1"/>
    <col min="5643" max="5643" width="20.42578125" customWidth="1"/>
    <col min="5645" max="5645" width="21.28515625" customWidth="1"/>
    <col min="5889" max="5889" width="71" customWidth="1"/>
    <col min="5890" max="5894" width="17.7109375" customWidth="1"/>
    <col min="5895" max="5895" width="19.42578125" customWidth="1"/>
    <col min="5896" max="5898" width="17.7109375" customWidth="1"/>
    <col min="5899" max="5899" width="20.42578125" customWidth="1"/>
    <col min="5901" max="5901" width="21.28515625" customWidth="1"/>
    <col min="6145" max="6145" width="71" customWidth="1"/>
    <col min="6146" max="6150" width="17.7109375" customWidth="1"/>
    <col min="6151" max="6151" width="19.42578125" customWidth="1"/>
    <col min="6152" max="6154" width="17.7109375" customWidth="1"/>
    <col min="6155" max="6155" width="20.42578125" customWidth="1"/>
    <col min="6157" max="6157" width="21.28515625" customWidth="1"/>
    <col min="6401" max="6401" width="71" customWidth="1"/>
    <col min="6402" max="6406" width="17.7109375" customWidth="1"/>
    <col min="6407" max="6407" width="19.42578125" customWidth="1"/>
    <col min="6408" max="6410" width="17.7109375" customWidth="1"/>
    <col min="6411" max="6411" width="20.42578125" customWidth="1"/>
    <col min="6413" max="6413" width="21.28515625" customWidth="1"/>
    <col min="6657" max="6657" width="71" customWidth="1"/>
    <col min="6658" max="6662" width="17.7109375" customWidth="1"/>
    <col min="6663" max="6663" width="19.42578125" customWidth="1"/>
    <col min="6664" max="6666" width="17.7109375" customWidth="1"/>
    <col min="6667" max="6667" width="20.42578125" customWidth="1"/>
    <col min="6669" max="6669" width="21.28515625" customWidth="1"/>
    <col min="6913" max="6913" width="71" customWidth="1"/>
    <col min="6914" max="6918" width="17.7109375" customWidth="1"/>
    <col min="6919" max="6919" width="19.42578125" customWidth="1"/>
    <col min="6920" max="6922" width="17.7109375" customWidth="1"/>
    <col min="6923" max="6923" width="20.42578125" customWidth="1"/>
    <col min="6925" max="6925" width="21.28515625" customWidth="1"/>
    <col min="7169" max="7169" width="71" customWidth="1"/>
    <col min="7170" max="7174" width="17.7109375" customWidth="1"/>
    <col min="7175" max="7175" width="19.42578125" customWidth="1"/>
    <col min="7176" max="7178" width="17.7109375" customWidth="1"/>
    <col min="7179" max="7179" width="20.42578125" customWidth="1"/>
    <col min="7181" max="7181" width="21.28515625" customWidth="1"/>
    <col min="7425" max="7425" width="71" customWidth="1"/>
    <col min="7426" max="7430" width="17.7109375" customWidth="1"/>
    <col min="7431" max="7431" width="19.42578125" customWidth="1"/>
    <col min="7432" max="7434" width="17.7109375" customWidth="1"/>
    <col min="7435" max="7435" width="20.42578125" customWidth="1"/>
    <col min="7437" max="7437" width="21.28515625" customWidth="1"/>
    <col min="7681" max="7681" width="71" customWidth="1"/>
    <col min="7682" max="7686" width="17.7109375" customWidth="1"/>
    <col min="7687" max="7687" width="19.42578125" customWidth="1"/>
    <col min="7688" max="7690" width="17.7109375" customWidth="1"/>
    <col min="7691" max="7691" width="20.42578125" customWidth="1"/>
    <col min="7693" max="7693" width="21.28515625" customWidth="1"/>
    <col min="7937" max="7937" width="71" customWidth="1"/>
    <col min="7938" max="7942" width="17.7109375" customWidth="1"/>
    <col min="7943" max="7943" width="19.42578125" customWidth="1"/>
    <col min="7944" max="7946" width="17.7109375" customWidth="1"/>
    <col min="7947" max="7947" width="20.42578125" customWidth="1"/>
    <col min="7949" max="7949" width="21.28515625" customWidth="1"/>
    <col min="8193" max="8193" width="71" customWidth="1"/>
    <col min="8194" max="8198" width="17.7109375" customWidth="1"/>
    <col min="8199" max="8199" width="19.42578125" customWidth="1"/>
    <col min="8200" max="8202" width="17.7109375" customWidth="1"/>
    <col min="8203" max="8203" width="20.42578125" customWidth="1"/>
    <col min="8205" max="8205" width="21.28515625" customWidth="1"/>
    <col min="8449" max="8449" width="71" customWidth="1"/>
    <col min="8450" max="8454" width="17.7109375" customWidth="1"/>
    <col min="8455" max="8455" width="19.42578125" customWidth="1"/>
    <col min="8456" max="8458" width="17.7109375" customWidth="1"/>
    <col min="8459" max="8459" width="20.42578125" customWidth="1"/>
    <col min="8461" max="8461" width="21.28515625" customWidth="1"/>
    <col min="8705" max="8705" width="71" customWidth="1"/>
    <col min="8706" max="8710" width="17.7109375" customWidth="1"/>
    <col min="8711" max="8711" width="19.42578125" customWidth="1"/>
    <col min="8712" max="8714" width="17.7109375" customWidth="1"/>
    <col min="8715" max="8715" width="20.42578125" customWidth="1"/>
    <col min="8717" max="8717" width="21.28515625" customWidth="1"/>
    <col min="8961" max="8961" width="71" customWidth="1"/>
    <col min="8962" max="8966" width="17.7109375" customWidth="1"/>
    <col min="8967" max="8967" width="19.42578125" customWidth="1"/>
    <col min="8968" max="8970" width="17.7109375" customWidth="1"/>
    <col min="8971" max="8971" width="20.42578125" customWidth="1"/>
    <col min="8973" max="8973" width="21.28515625" customWidth="1"/>
    <col min="9217" max="9217" width="71" customWidth="1"/>
    <col min="9218" max="9222" width="17.7109375" customWidth="1"/>
    <col min="9223" max="9223" width="19.42578125" customWidth="1"/>
    <col min="9224" max="9226" width="17.7109375" customWidth="1"/>
    <col min="9227" max="9227" width="20.42578125" customWidth="1"/>
    <col min="9229" max="9229" width="21.28515625" customWidth="1"/>
    <col min="9473" max="9473" width="71" customWidth="1"/>
    <col min="9474" max="9478" width="17.7109375" customWidth="1"/>
    <col min="9479" max="9479" width="19.42578125" customWidth="1"/>
    <col min="9480" max="9482" width="17.7109375" customWidth="1"/>
    <col min="9483" max="9483" width="20.42578125" customWidth="1"/>
    <col min="9485" max="9485" width="21.28515625" customWidth="1"/>
    <col min="9729" max="9729" width="71" customWidth="1"/>
    <col min="9730" max="9734" width="17.7109375" customWidth="1"/>
    <col min="9735" max="9735" width="19.42578125" customWidth="1"/>
    <col min="9736" max="9738" width="17.7109375" customWidth="1"/>
    <col min="9739" max="9739" width="20.42578125" customWidth="1"/>
    <col min="9741" max="9741" width="21.28515625" customWidth="1"/>
    <col min="9985" max="9985" width="71" customWidth="1"/>
    <col min="9986" max="9990" width="17.7109375" customWidth="1"/>
    <col min="9991" max="9991" width="19.42578125" customWidth="1"/>
    <col min="9992" max="9994" width="17.7109375" customWidth="1"/>
    <col min="9995" max="9995" width="20.42578125" customWidth="1"/>
    <col min="9997" max="9997" width="21.28515625" customWidth="1"/>
    <col min="10241" max="10241" width="71" customWidth="1"/>
    <col min="10242" max="10246" width="17.7109375" customWidth="1"/>
    <col min="10247" max="10247" width="19.42578125" customWidth="1"/>
    <col min="10248" max="10250" width="17.7109375" customWidth="1"/>
    <col min="10251" max="10251" width="20.42578125" customWidth="1"/>
    <col min="10253" max="10253" width="21.28515625" customWidth="1"/>
    <col min="10497" max="10497" width="71" customWidth="1"/>
    <col min="10498" max="10502" width="17.7109375" customWidth="1"/>
    <col min="10503" max="10503" width="19.42578125" customWidth="1"/>
    <col min="10504" max="10506" width="17.7109375" customWidth="1"/>
    <col min="10507" max="10507" width="20.42578125" customWidth="1"/>
    <col min="10509" max="10509" width="21.28515625" customWidth="1"/>
    <col min="10753" max="10753" width="71" customWidth="1"/>
    <col min="10754" max="10758" width="17.7109375" customWidth="1"/>
    <col min="10759" max="10759" width="19.42578125" customWidth="1"/>
    <col min="10760" max="10762" width="17.7109375" customWidth="1"/>
    <col min="10763" max="10763" width="20.42578125" customWidth="1"/>
    <col min="10765" max="10765" width="21.28515625" customWidth="1"/>
    <col min="11009" max="11009" width="71" customWidth="1"/>
    <col min="11010" max="11014" width="17.7109375" customWidth="1"/>
    <col min="11015" max="11015" width="19.42578125" customWidth="1"/>
    <col min="11016" max="11018" width="17.7109375" customWidth="1"/>
    <col min="11019" max="11019" width="20.42578125" customWidth="1"/>
    <col min="11021" max="11021" width="21.28515625" customWidth="1"/>
    <col min="11265" max="11265" width="71" customWidth="1"/>
    <col min="11266" max="11270" width="17.7109375" customWidth="1"/>
    <col min="11271" max="11271" width="19.42578125" customWidth="1"/>
    <col min="11272" max="11274" width="17.7109375" customWidth="1"/>
    <col min="11275" max="11275" width="20.42578125" customWidth="1"/>
    <col min="11277" max="11277" width="21.28515625" customWidth="1"/>
    <col min="11521" max="11521" width="71" customWidth="1"/>
    <col min="11522" max="11526" width="17.7109375" customWidth="1"/>
    <col min="11527" max="11527" width="19.42578125" customWidth="1"/>
    <col min="11528" max="11530" width="17.7109375" customWidth="1"/>
    <col min="11531" max="11531" width="20.42578125" customWidth="1"/>
    <col min="11533" max="11533" width="21.28515625" customWidth="1"/>
    <col min="11777" max="11777" width="71" customWidth="1"/>
    <col min="11778" max="11782" width="17.7109375" customWidth="1"/>
    <col min="11783" max="11783" width="19.42578125" customWidth="1"/>
    <col min="11784" max="11786" width="17.7109375" customWidth="1"/>
    <col min="11787" max="11787" width="20.42578125" customWidth="1"/>
    <col min="11789" max="11789" width="21.28515625" customWidth="1"/>
    <col min="12033" max="12033" width="71" customWidth="1"/>
    <col min="12034" max="12038" width="17.7109375" customWidth="1"/>
    <col min="12039" max="12039" width="19.42578125" customWidth="1"/>
    <col min="12040" max="12042" width="17.7109375" customWidth="1"/>
    <col min="12043" max="12043" width="20.42578125" customWidth="1"/>
    <col min="12045" max="12045" width="21.28515625" customWidth="1"/>
    <col min="12289" max="12289" width="71" customWidth="1"/>
    <col min="12290" max="12294" width="17.7109375" customWidth="1"/>
    <col min="12295" max="12295" width="19.42578125" customWidth="1"/>
    <col min="12296" max="12298" width="17.7109375" customWidth="1"/>
    <col min="12299" max="12299" width="20.42578125" customWidth="1"/>
    <col min="12301" max="12301" width="21.28515625" customWidth="1"/>
    <col min="12545" max="12545" width="71" customWidth="1"/>
    <col min="12546" max="12550" width="17.7109375" customWidth="1"/>
    <col min="12551" max="12551" width="19.42578125" customWidth="1"/>
    <col min="12552" max="12554" width="17.7109375" customWidth="1"/>
    <col min="12555" max="12555" width="20.42578125" customWidth="1"/>
    <col min="12557" max="12557" width="21.28515625" customWidth="1"/>
    <col min="12801" max="12801" width="71" customWidth="1"/>
    <col min="12802" max="12806" width="17.7109375" customWidth="1"/>
    <col min="12807" max="12807" width="19.42578125" customWidth="1"/>
    <col min="12808" max="12810" width="17.7109375" customWidth="1"/>
    <col min="12811" max="12811" width="20.42578125" customWidth="1"/>
    <col min="12813" max="12813" width="21.28515625" customWidth="1"/>
    <col min="13057" max="13057" width="71" customWidth="1"/>
    <col min="13058" max="13062" width="17.7109375" customWidth="1"/>
    <col min="13063" max="13063" width="19.42578125" customWidth="1"/>
    <col min="13064" max="13066" width="17.7109375" customWidth="1"/>
    <col min="13067" max="13067" width="20.42578125" customWidth="1"/>
    <col min="13069" max="13069" width="21.28515625" customWidth="1"/>
    <col min="13313" max="13313" width="71" customWidth="1"/>
    <col min="13314" max="13318" width="17.7109375" customWidth="1"/>
    <col min="13319" max="13319" width="19.42578125" customWidth="1"/>
    <col min="13320" max="13322" width="17.7109375" customWidth="1"/>
    <col min="13323" max="13323" width="20.42578125" customWidth="1"/>
    <col min="13325" max="13325" width="21.28515625" customWidth="1"/>
    <col min="13569" max="13569" width="71" customWidth="1"/>
    <col min="13570" max="13574" width="17.7109375" customWidth="1"/>
    <col min="13575" max="13575" width="19.42578125" customWidth="1"/>
    <col min="13576" max="13578" width="17.7109375" customWidth="1"/>
    <col min="13579" max="13579" width="20.42578125" customWidth="1"/>
    <col min="13581" max="13581" width="21.28515625" customWidth="1"/>
    <col min="13825" max="13825" width="71" customWidth="1"/>
    <col min="13826" max="13830" width="17.7109375" customWidth="1"/>
    <col min="13831" max="13831" width="19.42578125" customWidth="1"/>
    <col min="13832" max="13834" width="17.7109375" customWidth="1"/>
    <col min="13835" max="13835" width="20.42578125" customWidth="1"/>
    <col min="13837" max="13837" width="21.28515625" customWidth="1"/>
    <col min="14081" max="14081" width="71" customWidth="1"/>
    <col min="14082" max="14086" width="17.7109375" customWidth="1"/>
    <col min="14087" max="14087" width="19.42578125" customWidth="1"/>
    <col min="14088" max="14090" width="17.7109375" customWidth="1"/>
    <col min="14091" max="14091" width="20.42578125" customWidth="1"/>
    <col min="14093" max="14093" width="21.28515625" customWidth="1"/>
    <col min="14337" max="14337" width="71" customWidth="1"/>
    <col min="14338" max="14342" width="17.7109375" customWidth="1"/>
    <col min="14343" max="14343" width="19.42578125" customWidth="1"/>
    <col min="14344" max="14346" width="17.7109375" customWidth="1"/>
    <col min="14347" max="14347" width="20.42578125" customWidth="1"/>
    <col min="14349" max="14349" width="21.28515625" customWidth="1"/>
    <col min="14593" max="14593" width="71" customWidth="1"/>
    <col min="14594" max="14598" width="17.7109375" customWidth="1"/>
    <col min="14599" max="14599" width="19.42578125" customWidth="1"/>
    <col min="14600" max="14602" width="17.7109375" customWidth="1"/>
    <col min="14603" max="14603" width="20.42578125" customWidth="1"/>
    <col min="14605" max="14605" width="21.28515625" customWidth="1"/>
    <col min="14849" max="14849" width="71" customWidth="1"/>
    <col min="14850" max="14854" width="17.7109375" customWidth="1"/>
    <col min="14855" max="14855" width="19.42578125" customWidth="1"/>
    <col min="14856" max="14858" width="17.7109375" customWidth="1"/>
    <col min="14859" max="14859" width="20.42578125" customWidth="1"/>
    <col min="14861" max="14861" width="21.28515625" customWidth="1"/>
    <col min="15105" max="15105" width="71" customWidth="1"/>
    <col min="15106" max="15110" width="17.7109375" customWidth="1"/>
    <col min="15111" max="15111" width="19.42578125" customWidth="1"/>
    <col min="15112" max="15114" width="17.7109375" customWidth="1"/>
    <col min="15115" max="15115" width="20.42578125" customWidth="1"/>
    <col min="15117" max="15117" width="21.28515625" customWidth="1"/>
    <col min="15361" max="15361" width="71" customWidth="1"/>
    <col min="15362" max="15366" width="17.7109375" customWidth="1"/>
    <col min="15367" max="15367" width="19.42578125" customWidth="1"/>
    <col min="15368" max="15370" width="17.7109375" customWidth="1"/>
    <col min="15371" max="15371" width="20.42578125" customWidth="1"/>
    <col min="15373" max="15373" width="21.28515625" customWidth="1"/>
    <col min="15617" max="15617" width="71" customWidth="1"/>
    <col min="15618" max="15622" width="17.7109375" customWidth="1"/>
    <col min="15623" max="15623" width="19.42578125" customWidth="1"/>
    <col min="15624" max="15626" width="17.7109375" customWidth="1"/>
    <col min="15627" max="15627" width="20.42578125" customWidth="1"/>
    <col min="15629" max="15629" width="21.28515625" customWidth="1"/>
    <col min="15873" max="15873" width="71" customWidth="1"/>
    <col min="15874" max="15878" width="17.7109375" customWidth="1"/>
    <col min="15879" max="15879" width="19.42578125" customWidth="1"/>
    <col min="15880" max="15882" width="17.7109375" customWidth="1"/>
    <col min="15883" max="15883" width="20.42578125" customWidth="1"/>
    <col min="15885" max="15885" width="21.28515625" customWidth="1"/>
    <col min="16129" max="16129" width="71" customWidth="1"/>
    <col min="16130" max="16134" width="17.7109375" customWidth="1"/>
    <col min="16135" max="16135" width="19.42578125" customWidth="1"/>
    <col min="16136" max="16138" width="17.7109375" customWidth="1"/>
    <col min="16139" max="16139" width="20.42578125" customWidth="1"/>
    <col min="16141" max="16141" width="21.28515625" customWidth="1"/>
  </cols>
  <sheetData>
    <row r="1" spans="1:11" s="177" customFormat="1"/>
    <row r="2" spans="1:11" s="177" customFormat="1">
      <c r="A2" s="247" t="s">
        <v>235</v>
      </c>
      <c r="B2" s="179"/>
      <c r="C2" s="179"/>
      <c r="D2" s="179"/>
      <c r="E2" s="179"/>
      <c r="F2" s="179"/>
      <c r="G2" s="179"/>
      <c r="H2" s="179"/>
      <c r="I2" s="179"/>
      <c r="J2" s="179"/>
      <c r="K2" s="180" t="s">
        <v>234</v>
      </c>
    </row>
    <row r="3" spans="1:11" s="177" customFormat="1">
      <c r="A3" s="914"/>
      <c r="B3" s="179"/>
      <c r="C3" s="179"/>
      <c r="D3" s="179"/>
      <c r="E3" s="179"/>
      <c r="F3" s="179"/>
      <c r="G3" s="179"/>
      <c r="H3" s="179"/>
      <c r="I3" s="179"/>
      <c r="J3" s="179"/>
      <c r="K3" s="179"/>
    </row>
    <row r="4" spans="1:11" s="177" customFormat="1">
      <c r="A4" s="247" t="s">
        <v>1490</v>
      </c>
      <c r="B4" s="179"/>
      <c r="C4" s="179"/>
      <c r="D4" s="179"/>
      <c r="E4" s="179"/>
      <c r="F4" s="179"/>
      <c r="G4" s="179"/>
      <c r="H4" s="179"/>
      <c r="I4" s="179"/>
      <c r="J4" s="179"/>
      <c r="K4" s="179"/>
    </row>
    <row r="5" spans="1:11" s="177" customFormat="1">
      <c r="A5" s="247"/>
      <c r="B5" s="179"/>
      <c r="C5" s="179"/>
      <c r="D5" s="179"/>
      <c r="E5" s="179"/>
      <c r="F5" s="179"/>
      <c r="G5" s="179"/>
      <c r="H5" s="179"/>
      <c r="I5" s="179"/>
      <c r="J5" s="179"/>
      <c r="K5" s="179"/>
    </row>
    <row r="6" spans="1:11" s="177" customFormat="1" ht="19.5" customHeight="1">
      <c r="A6" s="915" t="s">
        <v>1491</v>
      </c>
      <c r="B6" s="179"/>
      <c r="C6" s="179"/>
      <c r="D6" s="179"/>
      <c r="E6" s="179"/>
      <c r="F6" s="179"/>
      <c r="G6" s="179"/>
      <c r="H6" s="179"/>
      <c r="I6" s="179"/>
      <c r="J6" s="916"/>
      <c r="K6" s="179"/>
    </row>
    <row r="7" spans="1:11" s="177" customFormat="1" ht="18.75" customHeight="1">
      <c r="A7" s="248"/>
      <c r="D7" s="419"/>
      <c r="E7" s="419"/>
      <c r="F7" s="419"/>
      <c r="G7" s="248"/>
      <c r="H7" s="419"/>
      <c r="I7" s="419"/>
      <c r="K7" s="419"/>
    </row>
    <row r="8" spans="1:11" s="177" customFormat="1">
      <c r="A8" s="184" t="s">
        <v>228</v>
      </c>
      <c r="B8" s="184" t="s">
        <v>227</v>
      </c>
      <c r="C8" s="184" t="s">
        <v>226</v>
      </c>
      <c r="D8" s="184"/>
      <c r="E8" s="183" t="s">
        <v>225</v>
      </c>
      <c r="F8" s="183"/>
      <c r="G8" s="184" t="s">
        <v>224</v>
      </c>
      <c r="H8" s="1381" t="s">
        <v>223</v>
      </c>
      <c r="I8" s="1381"/>
      <c r="J8" s="184" t="s">
        <v>222</v>
      </c>
      <c r="K8" s="184" t="s">
        <v>221</v>
      </c>
    </row>
    <row r="9" spans="1:11" s="186" customFormat="1">
      <c r="A9" s="1382" t="s">
        <v>220</v>
      </c>
      <c r="B9" s="1379" t="s">
        <v>219</v>
      </c>
      <c r="C9" s="1379" t="s">
        <v>218</v>
      </c>
      <c r="D9" s="1379" t="s">
        <v>217</v>
      </c>
      <c r="E9" s="1379" t="s">
        <v>216</v>
      </c>
      <c r="F9" s="1379"/>
      <c r="G9" s="1379" t="s">
        <v>215</v>
      </c>
      <c r="H9" s="1379" t="s">
        <v>214</v>
      </c>
      <c r="I9" s="1379"/>
      <c r="J9" s="1379" t="s">
        <v>240</v>
      </c>
      <c r="K9" s="1380" t="s">
        <v>212</v>
      </c>
    </row>
    <row r="10" spans="1:11" s="186" customFormat="1">
      <c r="A10" s="1382"/>
      <c r="B10" s="1379"/>
      <c r="C10" s="1379"/>
      <c r="D10" s="1379"/>
      <c r="E10" s="187" t="s">
        <v>211</v>
      </c>
      <c r="F10" s="187" t="s">
        <v>210</v>
      </c>
      <c r="G10" s="1379"/>
      <c r="H10" s="187" t="s">
        <v>211</v>
      </c>
      <c r="I10" s="187" t="s">
        <v>210</v>
      </c>
      <c r="J10" s="1379"/>
      <c r="K10" s="1380"/>
    </row>
    <row r="11" spans="1:11" ht="15.95" customHeight="1">
      <c r="A11" s="188" t="s">
        <v>208</v>
      </c>
      <c r="B11" s="189"/>
      <c r="C11" s="189"/>
      <c r="D11" s="189"/>
      <c r="E11" s="189"/>
      <c r="F11" s="189"/>
      <c r="G11" s="189"/>
      <c r="H11" s="189"/>
      <c r="I11" s="189"/>
      <c r="J11" s="189"/>
      <c r="K11" s="190">
        <f>SUM(K12)</f>
        <v>0</v>
      </c>
    </row>
    <row r="12" spans="1:11" ht="19.5" customHeight="1">
      <c r="A12" s="192"/>
      <c r="B12" s="193"/>
      <c r="C12" s="193"/>
      <c r="D12" s="194"/>
      <c r="E12" s="194"/>
      <c r="F12" s="194"/>
      <c r="G12" s="193"/>
      <c r="H12" s="193"/>
      <c r="I12" s="193"/>
      <c r="J12" s="193"/>
      <c r="K12" s="195"/>
    </row>
    <row r="13" spans="1:11" ht="15.95" customHeight="1">
      <c r="A13" s="188" t="s">
        <v>207</v>
      </c>
      <c r="B13" s="189"/>
      <c r="C13" s="189"/>
      <c r="D13" s="196"/>
      <c r="E13" s="196"/>
      <c r="F13" s="196"/>
      <c r="G13" s="189"/>
      <c r="H13" s="189"/>
      <c r="I13" s="189"/>
      <c r="J13" s="189"/>
      <c r="K13" s="190">
        <f>SUM(K14:K25)</f>
        <v>50022406.609999992</v>
      </c>
    </row>
    <row r="14" spans="1:11" ht="15.95" customHeight="1">
      <c r="A14" s="192" t="s">
        <v>1492</v>
      </c>
      <c r="B14" s="193" t="s">
        <v>1493</v>
      </c>
      <c r="C14" s="193" t="s">
        <v>1494</v>
      </c>
      <c r="D14" s="194"/>
      <c r="E14" s="194"/>
      <c r="F14" s="194"/>
      <c r="G14" s="193"/>
      <c r="H14" s="193" t="s">
        <v>1495</v>
      </c>
      <c r="I14" s="193" t="s">
        <v>1496</v>
      </c>
      <c r="J14" s="193" t="s">
        <v>1497</v>
      </c>
      <c r="K14" s="195">
        <v>20936237.309999999</v>
      </c>
    </row>
    <row r="15" spans="1:11" ht="15.95" customHeight="1">
      <c r="A15" s="192" t="s">
        <v>1498</v>
      </c>
      <c r="B15" s="193" t="s">
        <v>1499</v>
      </c>
      <c r="C15" s="193" t="s">
        <v>758</v>
      </c>
      <c r="D15" s="236">
        <v>0.01</v>
      </c>
      <c r="E15" s="557">
        <v>8.0000000000000002E-3</v>
      </c>
      <c r="F15" s="424">
        <v>1.4999999999999999E-2</v>
      </c>
      <c r="G15" s="237"/>
      <c r="H15" s="917"/>
      <c r="I15" s="917"/>
      <c r="J15" s="193" t="str">
        <f>+J14</f>
        <v>Ord.685 y 688 HCD</v>
      </c>
      <c r="K15" s="195">
        <v>9645962.9100000001</v>
      </c>
    </row>
    <row r="16" spans="1:11" ht="15.95" customHeight="1">
      <c r="A16" s="192" t="s">
        <v>1500</v>
      </c>
      <c r="B16" s="193" t="s">
        <v>1501</v>
      </c>
      <c r="C16" s="193" t="s">
        <v>1502</v>
      </c>
      <c r="D16" s="194" t="s">
        <v>1503</v>
      </c>
      <c r="E16" s="194"/>
      <c r="F16" s="194"/>
      <c r="G16" s="237"/>
      <c r="H16" s="193"/>
      <c r="I16" s="193"/>
      <c r="J16" s="193" t="str">
        <f ca="1">+J17</f>
        <v>Ord.685 y 688 HCD</v>
      </c>
      <c r="K16" s="195">
        <v>6094781.9900000002</v>
      </c>
    </row>
    <row r="17" spans="1:11" ht="15.95" customHeight="1">
      <c r="A17" s="192" t="s">
        <v>1504</v>
      </c>
      <c r="B17" s="193" t="s">
        <v>1505</v>
      </c>
      <c r="C17" s="193" t="s">
        <v>758</v>
      </c>
      <c r="D17" s="194"/>
      <c r="E17" s="194"/>
      <c r="F17" s="236"/>
      <c r="G17" s="901">
        <v>360</v>
      </c>
      <c r="H17" s="193"/>
      <c r="I17" s="193"/>
      <c r="J17" s="193" t="str">
        <f ca="1">+J16</f>
        <v>Ord.685 y 688 HCD</v>
      </c>
      <c r="K17" s="195">
        <v>5990198.1200000001</v>
      </c>
    </row>
    <row r="18" spans="1:11" ht="15.95" customHeight="1">
      <c r="A18" s="192" t="s">
        <v>1506</v>
      </c>
      <c r="B18" s="193" t="s">
        <v>1507</v>
      </c>
      <c r="C18" s="193" t="s">
        <v>1508</v>
      </c>
      <c r="D18" s="194" t="s">
        <v>1509</v>
      </c>
      <c r="E18" s="194"/>
      <c r="F18" s="194"/>
      <c r="G18" s="237"/>
      <c r="H18" s="193"/>
      <c r="I18" s="193"/>
      <c r="J18" s="193" t="str">
        <f ca="1">+J17</f>
        <v>Ord.685 y 688 HCD</v>
      </c>
      <c r="K18" s="195">
        <v>2096840.97</v>
      </c>
    </row>
    <row r="19" spans="1:11" ht="15.95" customHeight="1">
      <c r="A19" s="192" t="s">
        <v>1510</v>
      </c>
      <c r="B19" s="193" t="s">
        <v>1279</v>
      </c>
      <c r="C19" s="193" t="s">
        <v>1511</v>
      </c>
      <c r="D19" s="194"/>
      <c r="E19" s="194"/>
      <c r="F19" s="194"/>
      <c r="G19" s="237"/>
      <c r="H19" s="918">
        <v>50</v>
      </c>
      <c r="I19" s="919">
        <v>21350</v>
      </c>
      <c r="J19" s="193" t="str">
        <f ca="1">+J18</f>
        <v>Ord.685 y 688 HCD</v>
      </c>
      <c r="K19" s="195">
        <v>2017105.3</v>
      </c>
    </row>
    <row r="20" spans="1:11" ht="15.95" customHeight="1">
      <c r="A20" s="192" t="s">
        <v>1512</v>
      </c>
      <c r="B20" s="193" t="s">
        <v>1513</v>
      </c>
      <c r="C20" s="193" t="s">
        <v>1514</v>
      </c>
      <c r="D20" s="194"/>
      <c r="E20" s="194"/>
      <c r="F20" s="194"/>
      <c r="G20" s="901">
        <v>2500</v>
      </c>
      <c r="H20" s="193"/>
      <c r="I20" s="193"/>
      <c r="J20" s="193" t="str">
        <f ca="1">+J18</f>
        <v>Ord.685 y 688 HCD</v>
      </c>
      <c r="K20" s="195">
        <v>1792100</v>
      </c>
    </row>
    <row r="21" spans="1:11" ht="15.95" customHeight="1">
      <c r="A21" s="192" t="s">
        <v>1515</v>
      </c>
      <c r="B21" s="193" t="s">
        <v>1516</v>
      </c>
      <c r="C21" s="193" t="s">
        <v>109</v>
      </c>
      <c r="D21" s="194"/>
      <c r="E21" s="194"/>
      <c r="F21" s="194"/>
      <c r="G21" s="237"/>
      <c r="H21" s="918">
        <v>910</v>
      </c>
      <c r="I21" s="919">
        <v>1305</v>
      </c>
      <c r="J21" s="193" t="str">
        <f ca="1">+J23</f>
        <v>Ord.685 y 688 HCD</v>
      </c>
      <c r="K21" s="195">
        <v>756380.01</v>
      </c>
    </row>
    <row r="22" spans="1:11" ht="15.95" customHeight="1">
      <c r="A22" s="192" t="s">
        <v>1517</v>
      </c>
      <c r="B22" s="193" t="s">
        <v>1518</v>
      </c>
      <c r="C22" s="193" t="s">
        <v>1519</v>
      </c>
      <c r="D22" s="194"/>
      <c r="E22" s="194"/>
      <c r="F22" s="194"/>
      <c r="G22" s="901">
        <v>1600</v>
      </c>
      <c r="H22" s="193"/>
      <c r="I22" s="193"/>
      <c r="J22" s="193" t="str">
        <f ca="1">+J18</f>
        <v>Ord.685 y 688 HCD</v>
      </c>
      <c r="K22" s="195">
        <v>692800</v>
      </c>
    </row>
    <row r="23" spans="1:11" ht="15.95" customHeight="1">
      <c r="A23" s="192" t="s">
        <v>1520</v>
      </c>
      <c r="B23" s="193" t="s">
        <v>1521</v>
      </c>
      <c r="C23" s="193"/>
      <c r="D23" s="194"/>
      <c r="E23" s="194"/>
      <c r="F23" s="194"/>
      <c r="G23" s="237"/>
      <c r="H23" s="918">
        <v>300</v>
      </c>
      <c r="I23" s="919">
        <v>6000</v>
      </c>
      <c r="J23" s="193" t="str">
        <f ca="1">+J22</f>
        <v>Ord.685 y 688 HCD</v>
      </c>
      <c r="K23" s="195">
        <v>0</v>
      </c>
    </row>
    <row r="24" spans="1:11" ht="15.95" customHeight="1">
      <c r="A24" s="192" t="s">
        <v>1522</v>
      </c>
      <c r="B24" s="193" t="s">
        <v>1523</v>
      </c>
      <c r="C24" s="193"/>
      <c r="D24" s="194"/>
      <c r="E24" s="194"/>
      <c r="F24" s="194"/>
      <c r="G24" s="237"/>
      <c r="H24" s="918">
        <v>900</v>
      </c>
      <c r="I24" s="919">
        <v>1500</v>
      </c>
      <c r="J24" s="193" t="str">
        <f ca="1">+J23</f>
        <v>Ord.685 y 688 HCD</v>
      </c>
      <c r="K24" s="195">
        <v>0</v>
      </c>
    </row>
    <row r="25" spans="1:11" ht="15.95" customHeight="1">
      <c r="A25" s="192" t="s">
        <v>1524</v>
      </c>
      <c r="B25" s="193"/>
      <c r="C25" s="193" t="s">
        <v>1525</v>
      </c>
      <c r="D25" s="194"/>
      <c r="E25" s="194"/>
      <c r="F25" s="194"/>
      <c r="G25" s="901">
        <v>1300</v>
      </c>
      <c r="H25" s="193"/>
      <c r="I25" s="193"/>
      <c r="J25" s="193" t="str">
        <f ca="1">+J20</f>
        <v>Ord.685 y 688 HCD</v>
      </c>
      <c r="K25" s="195">
        <v>0</v>
      </c>
    </row>
    <row r="26" spans="1:11" s="177" customFormat="1" ht="15.95" customHeight="1">
      <c r="A26" s="209" t="s">
        <v>191</v>
      </c>
      <c r="B26" s="210"/>
      <c r="C26" s="210"/>
      <c r="D26" s="211"/>
      <c r="E26" s="211"/>
      <c r="F26" s="211"/>
      <c r="G26" s="210"/>
      <c r="H26" s="210"/>
      <c r="I26" s="210"/>
      <c r="J26" s="210"/>
      <c r="K26" s="213">
        <f>+K27</f>
        <v>7453588.3099999996</v>
      </c>
    </row>
    <row r="27" spans="1:11" s="177" customFormat="1" ht="15.95" customHeight="1">
      <c r="A27" s="192" t="s">
        <v>1526</v>
      </c>
      <c r="B27" s="217" t="s">
        <v>1527</v>
      </c>
      <c r="C27" s="217" t="s">
        <v>758</v>
      </c>
      <c r="D27" s="216">
        <v>0.08</v>
      </c>
      <c r="E27" s="216"/>
      <c r="F27" s="216"/>
      <c r="G27" s="217"/>
      <c r="H27" s="217"/>
      <c r="I27" s="217"/>
      <c r="J27" s="217" t="s">
        <v>1528</v>
      </c>
      <c r="K27" s="219">
        <v>7453588.3099999996</v>
      </c>
    </row>
    <row r="28" spans="1:11" s="177" customFormat="1" ht="15.95" customHeight="1">
      <c r="A28" s="192"/>
      <c r="B28" s="217"/>
      <c r="C28" s="217"/>
      <c r="D28" s="216"/>
      <c r="E28" s="216"/>
      <c r="F28" s="216"/>
      <c r="G28" s="217"/>
      <c r="H28" s="217"/>
      <c r="I28" s="217"/>
      <c r="J28" s="217"/>
      <c r="K28" s="219"/>
    </row>
    <row r="29" spans="1:11" ht="15.95" customHeight="1">
      <c r="A29" s="188" t="s">
        <v>179</v>
      </c>
      <c r="B29" s="189"/>
      <c r="C29" s="189"/>
      <c r="D29" s="196"/>
      <c r="E29" s="196"/>
      <c r="F29" s="196"/>
      <c r="G29" s="189"/>
      <c r="H29" s="189"/>
      <c r="I29" s="189"/>
      <c r="J29" s="189"/>
      <c r="K29" s="190">
        <f>+K30+K31+K32+K33+K34+K35</f>
        <v>967800.89999999991</v>
      </c>
    </row>
    <row r="30" spans="1:11" ht="15.95" customHeight="1">
      <c r="A30" s="192" t="s">
        <v>1529</v>
      </c>
      <c r="B30" s="193" t="s">
        <v>1530</v>
      </c>
      <c r="C30" s="193" t="s">
        <v>1531</v>
      </c>
      <c r="D30" s="194"/>
      <c r="E30" s="194"/>
      <c r="F30" s="194"/>
      <c r="G30" s="918">
        <v>2100</v>
      </c>
      <c r="H30" s="193"/>
      <c r="I30" s="193"/>
      <c r="J30" s="193" t="str">
        <f ca="1">+J20</f>
        <v>Ord.685 y 688 HCD</v>
      </c>
      <c r="K30" s="195">
        <v>957700.2</v>
      </c>
    </row>
    <row r="31" spans="1:11" ht="15.95" customHeight="1">
      <c r="A31" s="192" t="s">
        <v>1532</v>
      </c>
      <c r="B31" s="193" t="s">
        <v>1533</v>
      </c>
      <c r="C31" s="193" t="s">
        <v>1534</v>
      </c>
      <c r="D31" s="194"/>
      <c r="E31" s="194"/>
      <c r="F31" s="194"/>
      <c r="G31" s="193" t="s">
        <v>1535</v>
      </c>
      <c r="H31" s="193"/>
      <c r="I31" s="193"/>
      <c r="J31" s="193" t="str">
        <f ca="1">+J30</f>
        <v>Ord.685 y 688 HCD</v>
      </c>
      <c r="K31" s="195">
        <v>10100.700000000001</v>
      </c>
    </row>
    <row r="32" spans="1:11" ht="15.95" customHeight="1">
      <c r="A32" s="192" t="s">
        <v>1536</v>
      </c>
      <c r="B32" s="193" t="s">
        <v>1537</v>
      </c>
      <c r="C32" s="193" t="s">
        <v>1538</v>
      </c>
      <c r="D32" s="194" t="s">
        <v>1539</v>
      </c>
      <c r="E32" s="194"/>
      <c r="F32" s="194"/>
      <c r="G32" s="193" t="s">
        <v>1540</v>
      </c>
      <c r="H32" s="193"/>
      <c r="I32" s="193"/>
      <c r="J32" s="193" t="str">
        <f ca="1">+J31</f>
        <v>Ord.685 y 688 HCD</v>
      </c>
      <c r="K32" s="195">
        <v>0</v>
      </c>
    </row>
    <row r="33" spans="1:11" ht="15.95" customHeight="1">
      <c r="A33" s="192" t="s">
        <v>1541</v>
      </c>
      <c r="B33" s="193" t="s">
        <v>1542</v>
      </c>
      <c r="C33" s="193" t="s">
        <v>1543</v>
      </c>
      <c r="D33" s="194"/>
      <c r="E33" s="194"/>
      <c r="F33" s="194"/>
      <c r="G33" s="901"/>
      <c r="H33" s="920">
        <v>1000</v>
      </c>
      <c r="I33" s="920">
        <v>3100</v>
      </c>
      <c r="J33" s="193" t="str">
        <f ca="1">+J32</f>
        <v>Ord.685 y 688 HCD</v>
      </c>
      <c r="K33" s="195">
        <v>0</v>
      </c>
    </row>
    <row r="34" spans="1:11" ht="15.95" customHeight="1">
      <c r="A34" s="192" t="s">
        <v>1544</v>
      </c>
      <c r="B34" s="193" t="s">
        <v>1396</v>
      </c>
      <c r="C34" s="193"/>
      <c r="D34" s="194"/>
      <c r="E34" s="194"/>
      <c r="F34" s="194"/>
      <c r="G34" s="193"/>
      <c r="H34" s="193"/>
      <c r="I34" s="193"/>
      <c r="J34" s="193" t="str">
        <f ca="1">+J33</f>
        <v>Ord.685 y 688 HCD</v>
      </c>
      <c r="K34" s="195">
        <v>0</v>
      </c>
    </row>
    <row r="35" spans="1:11" ht="15.95" customHeight="1">
      <c r="A35" s="192" t="s">
        <v>1545</v>
      </c>
      <c r="B35" s="193"/>
      <c r="C35" s="193"/>
      <c r="D35" s="194"/>
      <c r="E35" s="194"/>
      <c r="F35" s="194"/>
      <c r="G35" s="193"/>
      <c r="H35" s="193"/>
      <c r="I35" s="193"/>
      <c r="J35" s="193" t="str">
        <f ca="1">+J34</f>
        <v>Ord.685 y 688 HCD</v>
      </c>
      <c r="K35" s="195">
        <v>0</v>
      </c>
    </row>
    <row r="36" spans="1:11" ht="15.95" customHeight="1">
      <c r="A36" s="188" t="s">
        <v>152</v>
      </c>
      <c r="B36" s="189"/>
      <c r="C36" s="189"/>
      <c r="D36" s="196"/>
      <c r="E36" s="196"/>
      <c r="F36" s="196"/>
      <c r="G36" s="189"/>
      <c r="H36" s="189"/>
      <c r="I36" s="189"/>
      <c r="J36" s="189"/>
      <c r="K36" s="190">
        <f>SUM(K37:K39)</f>
        <v>24100</v>
      </c>
    </row>
    <row r="37" spans="1:11" ht="15.95" customHeight="1">
      <c r="A37" s="192" t="s">
        <v>1546</v>
      </c>
      <c r="B37" s="193" t="s">
        <v>1547</v>
      </c>
      <c r="C37" s="193" t="s">
        <v>176</v>
      </c>
      <c r="D37" s="194"/>
      <c r="E37" s="194"/>
      <c r="F37" s="194"/>
      <c r="G37" s="193" t="s">
        <v>1548</v>
      </c>
      <c r="H37" s="193"/>
      <c r="I37" s="193"/>
      <c r="J37" s="193" t="str">
        <f ca="1">+J20</f>
        <v>Ord.685 y 688 HCD</v>
      </c>
      <c r="K37" s="195">
        <v>24100</v>
      </c>
    </row>
    <row r="38" spans="1:11" ht="15.95" customHeight="1">
      <c r="A38" s="256"/>
      <c r="B38" s="193"/>
      <c r="C38" s="193"/>
      <c r="D38" s="194"/>
      <c r="E38" s="194"/>
      <c r="F38" s="194"/>
      <c r="G38" s="193"/>
      <c r="H38" s="193"/>
      <c r="I38" s="193"/>
      <c r="J38" s="193"/>
      <c r="K38" s="195"/>
    </row>
    <row r="39" spans="1:11" ht="15.95" customHeight="1">
      <c r="A39" s="256"/>
      <c r="B39" s="193"/>
      <c r="C39" s="193"/>
      <c r="D39" s="194"/>
      <c r="E39" s="194"/>
      <c r="F39" s="194"/>
      <c r="G39" s="193"/>
      <c r="H39" s="193"/>
      <c r="I39" s="193"/>
      <c r="J39" s="193"/>
      <c r="K39" s="195"/>
    </row>
    <row r="40" spans="1:11" ht="15.95" customHeight="1">
      <c r="A40" s="188" t="s">
        <v>151</v>
      </c>
      <c r="B40" s="189"/>
      <c r="C40" s="189"/>
      <c r="D40" s="196"/>
      <c r="E40" s="196"/>
      <c r="F40" s="196"/>
      <c r="G40" s="189"/>
      <c r="H40" s="189"/>
      <c r="I40" s="189"/>
      <c r="J40" s="189"/>
      <c r="K40" s="190">
        <f>SUM(K41:K43)</f>
        <v>1814603.32</v>
      </c>
    </row>
    <row r="41" spans="1:11" ht="15.95" customHeight="1">
      <c r="A41" s="256" t="s">
        <v>683</v>
      </c>
      <c r="B41" s="193" t="s">
        <v>1279</v>
      </c>
      <c r="C41" s="193" t="s">
        <v>1511</v>
      </c>
      <c r="D41" s="194"/>
      <c r="E41" s="194"/>
      <c r="F41" s="194"/>
      <c r="G41" s="193"/>
      <c r="H41" s="193"/>
      <c r="I41" s="193"/>
      <c r="J41" s="193" t="str">
        <f ca="1">+J37</f>
        <v>Ord.685 y 688 HCD</v>
      </c>
      <c r="K41" s="195">
        <v>1814603.32</v>
      </c>
    </row>
    <row r="42" spans="1:11" ht="15.95" customHeight="1">
      <c r="A42" s="256"/>
      <c r="B42" s="193"/>
      <c r="C42" s="193"/>
      <c r="D42" s="194"/>
      <c r="E42" s="194"/>
      <c r="F42" s="194"/>
      <c r="G42" s="193"/>
      <c r="H42" s="193"/>
      <c r="I42" s="193"/>
      <c r="J42" s="193"/>
      <c r="K42" s="195"/>
    </row>
    <row r="43" spans="1:11" ht="15.95" customHeight="1">
      <c r="A43" s="256"/>
      <c r="B43" s="193"/>
      <c r="C43" s="193"/>
      <c r="D43" s="194"/>
      <c r="E43" s="194"/>
      <c r="F43" s="194"/>
      <c r="G43" s="193"/>
      <c r="H43" s="193"/>
      <c r="I43" s="193"/>
      <c r="J43" s="193"/>
      <c r="K43" s="195"/>
    </row>
    <row r="44" spans="1:11" s="177" customFormat="1" ht="15.95" customHeight="1">
      <c r="A44" s="209" t="s">
        <v>137</v>
      </c>
      <c r="B44" s="210"/>
      <c r="C44" s="210"/>
      <c r="D44" s="211"/>
      <c r="E44" s="211"/>
      <c r="F44" s="211"/>
      <c r="G44" s="210"/>
      <c r="H44" s="210"/>
      <c r="I44" s="210"/>
      <c r="J44" s="210"/>
      <c r="K44" s="213">
        <f>SUM(K45)</f>
        <v>0</v>
      </c>
    </row>
    <row r="45" spans="1:11" s="177" customFormat="1" ht="15.95" customHeight="1">
      <c r="A45" s="274"/>
      <c r="B45" s="217"/>
      <c r="C45" s="217"/>
      <c r="D45" s="216"/>
      <c r="E45" s="216"/>
      <c r="F45" s="216"/>
      <c r="G45" s="217"/>
      <c r="H45" s="217"/>
      <c r="I45" s="217"/>
      <c r="J45" s="217"/>
      <c r="K45" s="219"/>
    </row>
    <row r="46" spans="1:11" ht="15.95" customHeight="1">
      <c r="A46" s="188" t="s">
        <v>136</v>
      </c>
      <c r="B46" s="189"/>
      <c r="C46" s="189"/>
      <c r="D46" s="196"/>
      <c r="E46" s="196"/>
      <c r="F46" s="196"/>
      <c r="G46" s="189"/>
      <c r="H46" s="189"/>
      <c r="I46" s="189"/>
      <c r="J46" s="189"/>
      <c r="K46" s="190">
        <f>+K47+K48+K49+K50+K51</f>
        <v>20925453.200000003</v>
      </c>
    </row>
    <row r="47" spans="1:11" ht="15.95" customHeight="1">
      <c r="A47" s="233" t="s">
        <v>1549</v>
      </c>
      <c r="B47" s="237"/>
      <c r="C47" s="237"/>
      <c r="D47" s="236"/>
      <c r="E47" s="236"/>
      <c r="F47" s="236"/>
      <c r="G47" s="237"/>
      <c r="H47" s="237"/>
      <c r="I47" s="237"/>
      <c r="J47" s="237" t="s">
        <v>1497</v>
      </c>
      <c r="K47" s="261">
        <v>18695422.460000001</v>
      </c>
    </row>
    <row r="48" spans="1:11" ht="15.95" customHeight="1">
      <c r="A48" s="192" t="s">
        <v>1550</v>
      </c>
      <c r="B48" s="193"/>
      <c r="C48" s="193"/>
      <c r="D48" s="194"/>
      <c r="E48" s="194"/>
      <c r="F48" s="194"/>
      <c r="G48" s="193"/>
      <c r="H48" s="193"/>
      <c r="I48" s="193"/>
      <c r="J48" s="193" t="str">
        <f ca="1">+J19</f>
        <v>Ord.685 y 688 HCD</v>
      </c>
      <c r="K48" s="195">
        <v>2038009.25</v>
      </c>
    </row>
    <row r="49" spans="1:13" ht="15.95" customHeight="1">
      <c r="A49" s="233" t="s">
        <v>1551</v>
      </c>
      <c r="B49" s="237"/>
      <c r="C49" s="237" t="s">
        <v>1552</v>
      </c>
      <c r="D49" s="236"/>
      <c r="E49" s="236"/>
      <c r="F49" s="236"/>
      <c r="G49" s="237"/>
      <c r="H49" s="237"/>
      <c r="I49" s="237"/>
      <c r="J49" s="237" t="str">
        <f ca="1">+J48</f>
        <v>Ord.685 y 688 HCD</v>
      </c>
      <c r="K49" s="261">
        <v>148039.03</v>
      </c>
    </row>
    <row r="50" spans="1:13" ht="15.95" customHeight="1">
      <c r="A50" s="192" t="s">
        <v>1553</v>
      </c>
      <c r="B50" s="193"/>
      <c r="C50" s="193"/>
      <c r="D50" s="194"/>
      <c r="E50" s="194"/>
      <c r="F50" s="194"/>
      <c r="G50" s="193"/>
      <c r="H50" s="193"/>
      <c r="I50" s="193"/>
      <c r="J50" s="193" t="str">
        <f ca="1">+J49</f>
        <v>Ord.685 y 688 HCD</v>
      </c>
      <c r="K50" s="195">
        <v>43982.46</v>
      </c>
    </row>
    <row r="51" spans="1:13" ht="15.95" customHeight="1">
      <c r="A51" s="233" t="s">
        <v>1554</v>
      </c>
      <c r="B51" s="237" t="s">
        <v>1555</v>
      </c>
      <c r="C51" s="237" t="s">
        <v>1552</v>
      </c>
      <c r="D51" s="236"/>
      <c r="E51" s="236"/>
      <c r="F51" s="236"/>
      <c r="G51" s="237"/>
      <c r="H51" s="237"/>
      <c r="I51" s="237"/>
      <c r="J51" s="237" t="s">
        <v>1497</v>
      </c>
      <c r="K51" s="261"/>
    </row>
    <row r="52" spans="1:13" ht="35.25" customHeight="1">
      <c r="A52" s="921" t="s">
        <v>108</v>
      </c>
      <c r="B52" s="922"/>
      <c r="C52" s="922"/>
      <c r="D52" s="923"/>
      <c r="E52" s="923"/>
      <c r="F52" s="923"/>
      <c r="G52" s="922"/>
      <c r="H52" s="922"/>
      <c r="I52" s="922"/>
      <c r="J52" s="922"/>
      <c r="K52" s="924">
        <f>+K11+K13+K26+K29+K36+K40+K44+K46</f>
        <v>81207952.340000004</v>
      </c>
      <c r="M52" s="191"/>
    </row>
    <row r="53" spans="1:13">
      <c r="A53" s="245"/>
      <c r="B53" s="246"/>
      <c r="C53" s="246"/>
      <c r="D53" s="246"/>
      <c r="E53" s="246"/>
      <c r="F53" s="246"/>
      <c r="G53" s="246"/>
      <c r="H53" s="246"/>
      <c r="I53" s="246"/>
      <c r="J53" s="246"/>
      <c r="K53" s="246"/>
      <c r="M53" s="191"/>
    </row>
    <row r="54" spans="1:13">
      <c r="K54" s="925"/>
    </row>
    <row r="57" spans="1:13">
      <c r="K57" s="926"/>
    </row>
    <row r="58" spans="1:13">
      <c r="K58" s="926"/>
    </row>
  </sheetData>
  <mergeCells count="10">
    <mergeCell ref="J9:J10"/>
    <mergeCell ref="K9:K10"/>
    <mergeCell ref="H8:I8"/>
    <mergeCell ref="A9:A10"/>
    <mergeCell ref="B9:B10"/>
    <mergeCell ref="C9:C10"/>
    <mergeCell ref="D9:D10"/>
    <mergeCell ref="E9:F9"/>
    <mergeCell ref="G9:G10"/>
    <mergeCell ref="H9:I9"/>
  </mergeCells>
  <printOptions horizontalCentered="1"/>
  <pageMargins left="0.59055118110236227" right="0.59055118110236227" top="1.1417322834645669" bottom="0.74803149606299213" header="0.31496062992125984" footer="0.31496062992125984"/>
  <pageSetup paperSize="9" scale="5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pageSetUpPr fitToPage="1"/>
  </sheetPr>
  <dimension ref="A1:K64"/>
  <sheetViews>
    <sheetView showGridLines="0" zoomScaleNormal="100" workbookViewId="0"/>
  </sheetViews>
  <sheetFormatPr baseColWidth="10" defaultRowHeight="15"/>
  <cols>
    <col min="1" max="1" width="49.140625" customWidth="1"/>
    <col min="2" max="11" width="17.7109375" customWidth="1"/>
    <col min="12" max="12" width="1.28515625" customWidth="1"/>
    <col min="257" max="257" width="49.140625" customWidth="1"/>
    <col min="258" max="267" width="17.7109375" customWidth="1"/>
    <col min="268" max="268" width="1.28515625" customWidth="1"/>
    <col min="513" max="513" width="49.140625" customWidth="1"/>
    <col min="514" max="523" width="17.7109375" customWidth="1"/>
    <col min="524" max="524" width="1.28515625" customWidth="1"/>
    <col min="769" max="769" width="49.140625" customWidth="1"/>
    <col min="770" max="779" width="17.7109375" customWidth="1"/>
    <col min="780" max="780" width="1.28515625" customWidth="1"/>
    <col min="1025" max="1025" width="49.140625" customWidth="1"/>
    <col min="1026" max="1035" width="17.7109375" customWidth="1"/>
    <col min="1036" max="1036" width="1.28515625" customWidth="1"/>
    <col min="1281" max="1281" width="49.140625" customWidth="1"/>
    <col min="1282" max="1291" width="17.7109375" customWidth="1"/>
    <col min="1292" max="1292" width="1.28515625" customWidth="1"/>
    <col min="1537" max="1537" width="49.140625" customWidth="1"/>
    <col min="1538" max="1547" width="17.7109375" customWidth="1"/>
    <col min="1548" max="1548" width="1.28515625" customWidth="1"/>
    <col min="1793" max="1793" width="49.140625" customWidth="1"/>
    <col min="1794" max="1803" width="17.7109375" customWidth="1"/>
    <col min="1804" max="1804" width="1.28515625" customWidth="1"/>
    <col min="2049" max="2049" width="49.140625" customWidth="1"/>
    <col min="2050" max="2059" width="17.7109375" customWidth="1"/>
    <col min="2060" max="2060" width="1.28515625" customWidth="1"/>
    <col min="2305" max="2305" width="49.140625" customWidth="1"/>
    <col min="2306" max="2315" width="17.7109375" customWidth="1"/>
    <col min="2316" max="2316" width="1.28515625" customWidth="1"/>
    <col min="2561" max="2561" width="49.140625" customWidth="1"/>
    <col min="2562" max="2571" width="17.7109375" customWidth="1"/>
    <col min="2572" max="2572" width="1.28515625" customWidth="1"/>
    <col min="2817" max="2817" width="49.140625" customWidth="1"/>
    <col min="2818" max="2827" width="17.7109375" customWidth="1"/>
    <col min="2828" max="2828" width="1.28515625" customWidth="1"/>
    <col min="3073" max="3073" width="49.140625" customWidth="1"/>
    <col min="3074" max="3083" width="17.7109375" customWidth="1"/>
    <col min="3084" max="3084" width="1.28515625" customWidth="1"/>
    <col min="3329" max="3329" width="49.140625" customWidth="1"/>
    <col min="3330" max="3339" width="17.7109375" customWidth="1"/>
    <col min="3340" max="3340" width="1.28515625" customWidth="1"/>
    <col min="3585" max="3585" width="49.140625" customWidth="1"/>
    <col min="3586" max="3595" width="17.7109375" customWidth="1"/>
    <col min="3596" max="3596" width="1.28515625" customWidth="1"/>
    <col min="3841" max="3841" width="49.140625" customWidth="1"/>
    <col min="3842" max="3851" width="17.7109375" customWidth="1"/>
    <col min="3852" max="3852" width="1.28515625" customWidth="1"/>
    <col min="4097" max="4097" width="49.140625" customWidth="1"/>
    <col min="4098" max="4107" width="17.7109375" customWidth="1"/>
    <col min="4108" max="4108" width="1.28515625" customWidth="1"/>
    <col min="4353" max="4353" width="49.140625" customWidth="1"/>
    <col min="4354" max="4363" width="17.7109375" customWidth="1"/>
    <col min="4364" max="4364" width="1.28515625" customWidth="1"/>
    <col min="4609" max="4609" width="49.140625" customWidth="1"/>
    <col min="4610" max="4619" width="17.7109375" customWidth="1"/>
    <col min="4620" max="4620" width="1.28515625" customWidth="1"/>
    <col min="4865" max="4865" width="49.140625" customWidth="1"/>
    <col min="4866" max="4875" width="17.7109375" customWidth="1"/>
    <col min="4876" max="4876" width="1.28515625" customWidth="1"/>
    <col min="5121" max="5121" width="49.140625" customWidth="1"/>
    <col min="5122" max="5131" width="17.7109375" customWidth="1"/>
    <col min="5132" max="5132" width="1.28515625" customWidth="1"/>
    <col min="5377" max="5377" width="49.140625" customWidth="1"/>
    <col min="5378" max="5387" width="17.7109375" customWidth="1"/>
    <col min="5388" max="5388" width="1.28515625" customWidth="1"/>
    <col min="5633" max="5633" width="49.140625" customWidth="1"/>
    <col min="5634" max="5643" width="17.7109375" customWidth="1"/>
    <col min="5644" max="5644" width="1.28515625" customWidth="1"/>
    <col min="5889" max="5889" width="49.140625" customWidth="1"/>
    <col min="5890" max="5899" width="17.7109375" customWidth="1"/>
    <col min="5900" max="5900" width="1.28515625" customWidth="1"/>
    <col min="6145" max="6145" width="49.140625" customWidth="1"/>
    <col min="6146" max="6155" width="17.7109375" customWidth="1"/>
    <col min="6156" max="6156" width="1.28515625" customWidth="1"/>
    <col min="6401" max="6401" width="49.140625" customWidth="1"/>
    <col min="6402" max="6411" width="17.7109375" customWidth="1"/>
    <col min="6412" max="6412" width="1.28515625" customWidth="1"/>
    <col min="6657" max="6657" width="49.140625" customWidth="1"/>
    <col min="6658" max="6667" width="17.7109375" customWidth="1"/>
    <col min="6668" max="6668" width="1.28515625" customWidth="1"/>
    <col min="6913" max="6913" width="49.140625" customWidth="1"/>
    <col min="6914" max="6923" width="17.7109375" customWidth="1"/>
    <col min="6924" max="6924" width="1.28515625" customWidth="1"/>
    <col min="7169" max="7169" width="49.140625" customWidth="1"/>
    <col min="7170" max="7179" width="17.7109375" customWidth="1"/>
    <col min="7180" max="7180" width="1.28515625" customWidth="1"/>
    <col min="7425" max="7425" width="49.140625" customWidth="1"/>
    <col min="7426" max="7435" width="17.7109375" customWidth="1"/>
    <col min="7436" max="7436" width="1.28515625" customWidth="1"/>
    <col min="7681" max="7681" width="49.140625" customWidth="1"/>
    <col min="7682" max="7691" width="17.7109375" customWidth="1"/>
    <col min="7692" max="7692" width="1.28515625" customWidth="1"/>
    <col min="7937" max="7937" width="49.140625" customWidth="1"/>
    <col min="7938" max="7947" width="17.7109375" customWidth="1"/>
    <col min="7948" max="7948" width="1.28515625" customWidth="1"/>
    <col min="8193" max="8193" width="49.140625" customWidth="1"/>
    <col min="8194" max="8203" width="17.7109375" customWidth="1"/>
    <col min="8204" max="8204" width="1.28515625" customWidth="1"/>
    <col min="8449" max="8449" width="49.140625" customWidth="1"/>
    <col min="8450" max="8459" width="17.7109375" customWidth="1"/>
    <col min="8460" max="8460" width="1.28515625" customWidth="1"/>
    <col min="8705" max="8705" width="49.140625" customWidth="1"/>
    <col min="8706" max="8715" width="17.7109375" customWidth="1"/>
    <col min="8716" max="8716" width="1.28515625" customWidth="1"/>
    <col min="8961" max="8961" width="49.140625" customWidth="1"/>
    <col min="8962" max="8971" width="17.7109375" customWidth="1"/>
    <col min="8972" max="8972" width="1.28515625" customWidth="1"/>
    <col min="9217" max="9217" width="49.140625" customWidth="1"/>
    <col min="9218" max="9227" width="17.7109375" customWidth="1"/>
    <col min="9228" max="9228" width="1.28515625" customWidth="1"/>
    <col min="9473" max="9473" width="49.140625" customWidth="1"/>
    <col min="9474" max="9483" width="17.7109375" customWidth="1"/>
    <col min="9484" max="9484" width="1.28515625" customWidth="1"/>
    <col min="9729" max="9729" width="49.140625" customWidth="1"/>
    <col min="9730" max="9739" width="17.7109375" customWidth="1"/>
    <col min="9740" max="9740" width="1.28515625" customWidth="1"/>
    <col min="9985" max="9985" width="49.140625" customWidth="1"/>
    <col min="9986" max="9995" width="17.7109375" customWidth="1"/>
    <col min="9996" max="9996" width="1.28515625" customWidth="1"/>
    <col min="10241" max="10241" width="49.140625" customWidth="1"/>
    <col min="10242" max="10251" width="17.7109375" customWidth="1"/>
    <col min="10252" max="10252" width="1.28515625" customWidth="1"/>
    <col min="10497" max="10497" width="49.140625" customWidth="1"/>
    <col min="10498" max="10507" width="17.7109375" customWidth="1"/>
    <col min="10508" max="10508" width="1.28515625" customWidth="1"/>
    <col min="10753" max="10753" width="49.140625" customWidth="1"/>
    <col min="10754" max="10763" width="17.7109375" customWidth="1"/>
    <col min="10764" max="10764" width="1.28515625" customWidth="1"/>
    <col min="11009" max="11009" width="49.140625" customWidth="1"/>
    <col min="11010" max="11019" width="17.7109375" customWidth="1"/>
    <col min="11020" max="11020" width="1.28515625" customWidth="1"/>
    <col min="11265" max="11265" width="49.140625" customWidth="1"/>
    <col min="11266" max="11275" width="17.7109375" customWidth="1"/>
    <col min="11276" max="11276" width="1.28515625" customWidth="1"/>
    <col min="11521" max="11521" width="49.140625" customWidth="1"/>
    <col min="11522" max="11531" width="17.7109375" customWidth="1"/>
    <col min="11532" max="11532" width="1.28515625" customWidth="1"/>
    <col min="11777" max="11777" width="49.140625" customWidth="1"/>
    <col min="11778" max="11787" width="17.7109375" customWidth="1"/>
    <col min="11788" max="11788" width="1.28515625" customWidth="1"/>
    <col min="12033" max="12033" width="49.140625" customWidth="1"/>
    <col min="12034" max="12043" width="17.7109375" customWidth="1"/>
    <col min="12044" max="12044" width="1.28515625" customWidth="1"/>
    <col min="12289" max="12289" width="49.140625" customWidth="1"/>
    <col min="12290" max="12299" width="17.7109375" customWidth="1"/>
    <col min="12300" max="12300" width="1.28515625" customWidth="1"/>
    <col min="12545" max="12545" width="49.140625" customWidth="1"/>
    <col min="12546" max="12555" width="17.7109375" customWidth="1"/>
    <col min="12556" max="12556" width="1.28515625" customWidth="1"/>
    <col min="12801" max="12801" width="49.140625" customWidth="1"/>
    <col min="12802" max="12811" width="17.7109375" customWidth="1"/>
    <col min="12812" max="12812" width="1.28515625" customWidth="1"/>
    <col min="13057" max="13057" width="49.140625" customWidth="1"/>
    <col min="13058" max="13067" width="17.7109375" customWidth="1"/>
    <col min="13068" max="13068" width="1.28515625" customWidth="1"/>
    <col min="13313" max="13313" width="49.140625" customWidth="1"/>
    <col min="13314" max="13323" width="17.7109375" customWidth="1"/>
    <col min="13324" max="13324" width="1.28515625" customWidth="1"/>
    <col min="13569" max="13569" width="49.140625" customWidth="1"/>
    <col min="13570" max="13579" width="17.7109375" customWidth="1"/>
    <col min="13580" max="13580" width="1.28515625" customWidth="1"/>
    <col min="13825" max="13825" width="49.140625" customWidth="1"/>
    <col min="13826" max="13835" width="17.7109375" customWidth="1"/>
    <col min="13836" max="13836" width="1.28515625" customWidth="1"/>
    <col min="14081" max="14081" width="49.140625" customWidth="1"/>
    <col min="14082" max="14091" width="17.7109375" customWidth="1"/>
    <col min="14092" max="14092" width="1.28515625" customWidth="1"/>
    <col min="14337" max="14337" width="49.140625" customWidth="1"/>
    <col min="14338" max="14347" width="17.7109375" customWidth="1"/>
    <col min="14348" max="14348" width="1.28515625" customWidth="1"/>
    <col min="14593" max="14593" width="49.140625" customWidth="1"/>
    <col min="14594" max="14603" width="17.7109375" customWidth="1"/>
    <col min="14604" max="14604" width="1.28515625" customWidth="1"/>
    <col min="14849" max="14849" width="49.140625" customWidth="1"/>
    <col min="14850" max="14859" width="17.7109375" customWidth="1"/>
    <col min="14860" max="14860" width="1.28515625" customWidth="1"/>
    <col min="15105" max="15105" width="49.140625" customWidth="1"/>
    <col min="15106" max="15115" width="17.7109375" customWidth="1"/>
    <col min="15116" max="15116" width="1.28515625" customWidth="1"/>
    <col min="15361" max="15361" width="49.140625" customWidth="1"/>
    <col min="15362" max="15371" width="17.7109375" customWidth="1"/>
    <col min="15372" max="15372" width="1.28515625" customWidth="1"/>
    <col min="15617" max="15617" width="49.140625" customWidth="1"/>
    <col min="15618" max="15627" width="17.7109375" customWidth="1"/>
    <col min="15628" max="15628" width="1.28515625" customWidth="1"/>
    <col min="15873" max="15873" width="49.140625" customWidth="1"/>
    <col min="15874" max="15883" width="17.7109375" customWidth="1"/>
    <col min="15884" max="15884" width="1.28515625" customWidth="1"/>
    <col min="16129" max="16129" width="49.140625" customWidth="1"/>
    <col min="16130" max="16139" width="17.7109375" customWidth="1"/>
    <col min="16140" max="16140" width="1.28515625" customWidth="1"/>
  </cols>
  <sheetData>
    <row r="1" spans="1:11" s="177" customFormat="1"/>
    <row r="2" spans="1:11" s="177" customFormat="1">
      <c r="A2" s="247" t="s">
        <v>235</v>
      </c>
      <c r="B2" s="179"/>
      <c r="C2" s="179"/>
      <c r="D2" s="179"/>
      <c r="E2" s="179"/>
      <c r="F2" s="179"/>
      <c r="G2" s="179"/>
      <c r="H2" s="179"/>
      <c r="I2" s="179"/>
      <c r="J2" s="179"/>
      <c r="K2" s="180" t="s">
        <v>234</v>
      </c>
    </row>
    <row r="3" spans="1:11" s="177" customFormat="1">
      <c r="A3" s="247" t="s">
        <v>1556</v>
      </c>
      <c r="B3" s="179"/>
      <c r="C3" s="179"/>
      <c r="D3" s="179"/>
      <c r="E3" s="179"/>
      <c r="F3" s="179"/>
      <c r="G3" s="179"/>
      <c r="H3" s="179"/>
      <c r="I3" s="179"/>
      <c r="J3" s="179"/>
      <c r="K3" s="180"/>
    </row>
    <row r="4" spans="1:11" s="177" customFormat="1" ht="15.75">
      <c r="A4" s="646" t="s">
        <v>1557</v>
      </c>
      <c r="B4" s="179"/>
      <c r="C4" s="179"/>
      <c r="D4" s="179"/>
      <c r="E4" s="179"/>
      <c r="F4" s="179"/>
      <c r="G4" s="179"/>
      <c r="H4" s="179"/>
      <c r="I4" s="179"/>
      <c r="J4" s="179"/>
      <c r="K4" s="179"/>
    </row>
    <row r="5" spans="1:11" s="177" customFormat="1">
      <c r="A5" s="247" t="s">
        <v>232</v>
      </c>
      <c r="B5" s="179"/>
      <c r="C5" s="179"/>
      <c r="D5" s="179"/>
      <c r="E5" s="179"/>
      <c r="F5" s="179"/>
      <c r="G5" s="179"/>
      <c r="H5" s="179"/>
      <c r="I5" s="179"/>
      <c r="J5" s="179"/>
      <c r="K5" s="179"/>
    </row>
    <row r="6" spans="1:11" s="177" customFormat="1"/>
    <row r="7" spans="1:11" s="177" customFormat="1">
      <c r="A7" s="184" t="s">
        <v>228</v>
      </c>
      <c r="B7" s="184" t="s">
        <v>227</v>
      </c>
      <c r="C7" s="184" t="s">
        <v>226</v>
      </c>
      <c r="D7" s="184"/>
      <c r="E7" s="183" t="s">
        <v>225</v>
      </c>
      <c r="F7" s="183"/>
      <c r="G7" s="184" t="s">
        <v>224</v>
      </c>
      <c r="H7" s="1381" t="s">
        <v>223</v>
      </c>
      <c r="I7" s="1381"/>
      <c r="J7" s="184" t="s">
        <v>222</v>
      </c>
      <c r="K7" s="184" t="s">
        <v>221</v>
      </c>
    </row>
    <row r="8" spans="1:11" s="186" customFormat="1">
      <c r="A8" s="1382" t="s">
        <v>220</v>
      </c>
      <c r="B8" s="1379" t="s">
        <v>219</v>
      </c>
      <c r="C8" s="1379" t="s">
        <v>218</v>
      </c>
      <c r="D8" s="1379" t="s">
        <v>217</v>
      </c>
      <c r="E8" s="1379" t="s">
        <v>216</v>
      </c>
      <c r="F8" s="1379"/>
      <c r="G8" s="1379" t="s">
        <v>215</v>
      </c>
      <c r="H8" s="1379" t="s">
        <v>214</v>
      </c>
      <c r="I8" s="1379"/>
      <c r="J8" s="1379" t="s">
        <v>240</v>
      </c>
      <c r="K8" s="1380" t="s">
        <v>212</v>
      </c>
    </row>
    <row r="9" spans="1:11" s="186" customFormat="1">
      <c r="A9" s="1382"/>
      <c r="B9" s="1379"/>
      <c r="C9" s="1379"/>
      <c r="D9" s="1379"/>
      <c r="E9" s="187" t="s">
        <v>211</v>
      </c>
      <c r="F9" s="187" t="s">
        <v>210</v>
      </c>
      <c r="G9" s="1379"/>
      <c r="H9" s="187" t="s">
        <v>211</v>
      </c>
      <c r="I9" s="187" t="s">
        <v>210</v>
      </c>
      <c r="J9" s="1379"/>
      <c r="K9" s="1380"/>
    </row>
    <row r="10" spans="1:11" ht="15.95" customHeight="1">
      <c r="A10" s="713" t="s">
        <v>1558</v>
      </c>
      <c r="B10" s="714"/>
      <c r="C10" s="714"/>
      <c r="D10" s="714"/>
      <c r="E10" s="714"/>
      <c r="F10" s="714"/>
      <c r="G10" s="714"/>
      <c r="H10" s="714"/>
      <c r="I10" s="714"/>
      <c r="J10" s="714"/>
      <c r="K10" s="714"/>
    </row>
    <row r="11" spans="1:11" ht="15.95" customHeight="1">
      <c r="A11" s="256"/>
      <c r="B11" s="193"/>
      <c r="C11" s="193"/>
      <c r="D11" s="193"/>
      <c r="E11" s="193"/>
      <c r="F11" s="193"/>
      <c r="G11" s="193"/>
      <c r="H11" s="193"/>
      <c r="I11" s="193"/>
      <c r="J11" s="193"/>
      <c r="K11" s="193"/>
    </row>
    <row r="12" spans="1:11" ht="15.95" customHeight="1">
      <c r="A12" s="256"/>
      <c r="B12" s="193"/>
      <c r="C12" s="193"/>
      <c r="D12" s="193"/>
      <c r="E12" s="193"/>
      <c r="F12" s="193"/>
      <c r="G12" s="193"/>
      <c r="H12" s="193"/>
      <c r="I12" s="193"/>
      <c r="J12" s="193"/>
      <c r="K12" s="193"/>
    </row>
    <row r="13" spans="1:11" ht="15.95" customHeight="1">
      <c r="A13" s="256"/>
      <c r="B13" s="193"/>
      <c r="C13" s="193"/>
      <c r="D13" s="193"/>
      <c r="E13" s="193"/>
      <c r="F13" s="193"/>
      <c r="G13" s="193"/>
      <c r="H13" s="193"/>
      <c r="I13" s="193"/>
      <c r="J13" s="193"/>
      <c r="K13" s="193"/>
    </row>
    <row r="14" spans="1:11" ht="15.95" customHeight="1">
      <c r="A14" s="256"/>
      <c r="B14" s="193"/>
      <c r="C14" s="193"/>
      <c r="D14" s="193"/>
      <c r="E14" s="193"/>
      <c r="F14" s="193"/>
      <c r="G14" s="193"/>
      <c r="H14" s="193"/>
      <c r="I14" s="193"/>
      <c r="J14" s="193"/>
      <c r="K14" s="193"/>
    </row>
    <row r="15" spans="1:11" ht="15.95" customHeight="1">
      <c r="A15" s="256"/>
      <c r="B15" s="193"/>
      <c r="C15" s="193"/>
      <c r="D15" s="193"/>
      <c r="E15" s="193"/>
      <c r="F15" s="193"/>
      <c r="G15" s="193"/>
      <c r="H15" s="193"/>
      <c r="I15" s="193"/>
      <c r="J15" s="193"/>
      <c r="K15" s="193"/>
    </row>
    <row r="16" spans="1:11" ht="15.95" customHeight="1">
      <c r="A16" s="713" t="s">
        <v>1559</v>
      </c>
      <c r="B16" s="714"/>
      <c r="C16" s="714"/>
      <c r="D16" s="714"/>
      <c r="E16" s="714"/>
      <c r="F16" s="714"/>
      <c r="G16" s="714"/>
      <c r="H16" s="714"/>
      <c r="I16" s="714"/>
      <c r="J16" s="714"/>
      <c r="K16" s="714"/>
    </row>
    <row r="17" spans="1:11" ht="15.95" customHeight="1">
      <c r="A17" s="256"/>
      <c r="B17" s="193"/>
      <c r="C17" s="193"/>
      <c r="D17" s="193"/>
      <c r="E17" s="193"/>
      <c r="F17" s="193"/>
      <c r="G17" s="193"/>
      <c r="H17" s="193"/>
      <c r="I17" s="193"/>
      <c r="J17" s="193"/>
      <c r="K17" s="193"/>
    </row>
    <row r="18" spans="1:11" ht="15.95" customHeight="1">
      <c r="A18" s="256" t="s">
        <v>1560</v>
      </c>
      <c r="B18" s="193" t="s">
        <v>1561</v>
      </c>
      <c r="C18" s="294" t="s">
        <v>109</v>
      </c>
      <c r="D18" s="927">
        <v>2E-3</v>
      </c>
      <c r="E18" s="927">
        <v>3.0000000000000001E-3</v>
      </c>
      <c r="F18" s="927">
        <v>3.0000000000000001E-3</v>
      </c>
      <c r="G18" s="237">
        <v>0</v>
      </c>
      <c r="H18" s="237">
        <v>180</v>
      </c>
      <c r="I18" s="237">
        <v>0</v>
      </c>
      <c r="J18" s="237" t="s">
        <v>1562</v>
      </c>
      <c r="K18" s="928">
        <v>270630</v>
      </c>
    </row>
    <row r="19" spans="1:11" ht="15.95" customHeight="1">
      <c r="A19" s="256" t="s">
        <v>1563</v>
      </c>
      <c r="B19" s="193" t="s">
        <v>647</v>
      </c>
      <c r="C19" s="294" t="s">
        <v>109</v>
      </c>
      <c r="D19" s="392">
        <v>0.01</v>
      </c>
      <c r="E19" s="237" t="s">
        <v>1564</v>
      </c>
      <c r="F19" s="237" t="s">
        <v>1564</v>
      </c>
      <c r="G19" s="237">
        <v>0</v>
      </c>
      <c r="H19" s="237">
        <v>450</v>
      </c>
      <c r="I19" s="237">
        <v>0</v>
      </c>
      <c r="J19" s="237" t="s">
        <v>1562</v>
      </c>
      <c r="K19" s="928">
        <v>494601.94</v>
      </c>
    </row>
    <row r="20" spans="1:11" ht="15.95" customHeight="1">
      <c r="A20" s="256" t="s">
        <v>1565</v>
      </c>
      <c r="B20" s="193" t="s">
        <v>591</v>
      </c>
      <c r="C20" s="294" t="s">
        <v>109</v>
      </c>
      <c r="D20" s="237">
        <v>0</v>
      </c>
      <c r="E20" s="237" t="s">
        <v>1564</v>
      </c>
      <c r="F20" s="237" t="s">
        <v>1564</v>
      </c>
      <c r="G20" s="237">
        <v>100</v>
      </c>
      <c r="H20" s="237">
        <v>0</v>
      </c>
      <c r="I20" s="237">
        <v>0</v>
      </c>
      <c r="J20" s="237" t="s">
        <v>1562</v>
      </c>
      <c r="K20" s="928">
        <v>65160</v>
      </c>
    </row>
    <row r="21" spans="1:11" ht="15.95" customHeight="1">
      <c r="A21" s="256" t="s">
        <v>1566</v>
      </c>
      <c r="B21" s="193" t="s">
        <v>591</v>
      </c>
      <c r="C21" s="294" t="s">
        <v>109</v>
      </c>
      <c r="D21" s="237">
        <v>0</v>
      </c>
      <c r="E21" s="237" t="s">
        <v>1564</v>
      </c>
      <c r="F21" s="237" t="s">
        <v>1564</v>
      </c>
      <c r="G21" s="237">
        <v>200</v>
      </c>
      <c r="H21" s="237">
        <v>0</v>
      </c>
      <c r="I21" s="237">
        <v>0</v>
      </c>
      <c r="J21" s="237" t="s">
        <v>1562</v>
      </c>
      <c r="K21" s="929">
        <v>37240</v>
      </c>
    </row>
    <row r="22" spans="1:11" ht="15.95" customHeight="1">
      <c r="A22" s="294"/>
      <c r="B22" s="193"/>
      <c r="C22" s="294"/>
      <c r="D22" s="193"/>
      <c r="E22" s="193"/>
      <c r="F22" s="193"/>
      <c r="G22" s="193"/>
      <c r="H22" s="193"/>
      <c r="I22" s="193"/>
      <c r="J22" s="294"/>
      <c r="K22" s="930"/>
    </row>
    <row r="23" spans="1:11" ht="15.95" customHeight="1">
      <c r="A23" s="256"/>
      <c r="B23" s="193"/>
      <c r="C23" s="294"/>
      <c r="D23" s="193"/>
      <c r="E23" s="193"/>
      <c r="F23" s="193"/>
      <c r="G23" s="193"/>
      <c r="H23" s="193"/>
      <c r="I23" s="193"/>
      <c r="J23" s="193"/>
      <c r="K23" s="928"/>
    </row>
    <row r="24" spans="1:11" ht="15.95" customHeight="1">
      <c r="A24" s="256"/>
      <c r="B24" s="193"/>
      <c r="C24" s="193"/>
      <c r="D24" s="193"/>
      <c r="E24" s="193"/>
      <c r="F24" s="193"/>
      <c r="G24" s="193"/>
      <c r="H24" s="193"/>
      <c r="I24" s="193"/>
      <c r="J24" s="193"/>
      <c r="K24" s="928"/>
    </row>
    <row r="25" spans="1:11" ht="15.95" customHeight="1">
      <c r="A25" s="256"/>
      <c r="B25" s="193"/>
      <c r="C25" s="193"/>
      <c r="D25" s="193"/>
      <c r="E25" s="193"/>
      <c r="F25" s="193"/>
      <c r="G25" s="193"/>
      <c r="H25" s="193"/>
      <c r="I25" s="193"/>
      <c r="J25" s="193"/>
      <c r="K25" s="928"/>
    </row>
    <row r="26" spans="1:11" ht="15.95" customHeight="1">
      <c r="A26" s="256"/>
      <c r="B26" s="193"/>
      <c r="C26" s="193"/>
      <c r="D26" s="193"/>
      <c r="E26" s="193"/>
      <c r="F26" s="193"/>
      <c r="G26" s="193"/>
      <c r="H26" s="193"/>
      <c r="I26" s="193"/>
      <c r="J26" s="193"/>
      <c r="K26" s="928"/>
    </row>
    <row r="27" spans="1:11" s="177" customFormat="1" ht="15.95" customHeight="1">
      <c r="A27" s="730" t="s">
        <v>1567</v>
      </c>
      <c r="B27" s="731"/>
      <c r="C27" s="731"/>
      <c r="D27" s="731"/>
      <c r="E27" s="731"/>
      <c r="F27" s="731"/>
      <c r="G27" s="731"/>
      <c r="H27" s="731"/>
      <c r="I27" s="731"/>
      <c r="J27" s="731"/>
      <c r="K27" s="931"/>
    </row>
    <row r="28" spans="1:11" s="732" customFormat="1" ht="15.95" customHeight="1">
      <c r="A28" s="274"/>
      <c r="B28" s="217"/>
      <c r="C28" s="217"/>
      <c r="D28" s="217"/>
      <c r="E28" s="217"/>
      <c r="F28" s="217"/>
      <c r="G28" s="217"/>
      <c r="H28" s="217"/>
      <c r="I28" s="217"/>
      <c r="J28" s="217"/>
      <c r="K28" s="932"/>
    </row>
    <row r="29" spans="1:11" s="732" customFormat="1" ht="15.95" customHeight="1">
      <c r="A29" s="274"/>
      <c r="B29" s="217"/>
      <c r="C29" s="217"/>
      <c r="D29" s="217"/>
      <c r="E29" s="217"/>
      <c r="F29" s="217"/>
      <c r="G29" s="217"/>
      <c r="H29" s="217"/>
      <c r="I29" s="217"/>
      <c r="J29" s="217"/>
      <c r="K29" s="932"/>
    </row>
    <row r="30" spans="1:11" s="732" customFormat="1" ht="15.95" customHeight="1">
      <c r="A30" s="274"/>
      <c r="B30" s="217"/>
      <c r="C30" s="217"/>
      <c r="D30" s="217"/>
      <c r="E30" s="217"/>
      <c r="F30" s="217"/>
      <c r="G30" s="217"/>
      <c r="H30" s="217"/>
      <c r="I30" s="217"/>
      <c r="J30" s="217"/>
      <c r="K30" s="932"/>
    </row>
    <row r="31" spans="1:11" s="177" customFormat="1" ht="15.95" customHeight="1">
      <c r="A31" s="256"/>
      <c r="B31" s="217"/>
      <c r="C31" s="217"/>
      <c r="D31" s="217"/>
      <c r="E31" s="217"/>
      <c r="F31" s="217"/>
      <c r="G31" s="217"/>
      <c r="H31" s="217"/>
      <c r="I31" s="217"/>
      <c r="J31" s="217"/>
      <c r="K31" s="932"/>
    </row>
    <row r="32" spans="1:11" s="177" customFormat="1" ht="15.95" customHeight="1">
      <c r="A32" s="256"/>
      <c r="B32" s="217"/>
      <c r="C32" s="217"/>
      <c r="D32" s="217"/>
      <c r="E32" s="217"/>
      <c r="F32" s="217"/>
      <c r="G32" s="217"/>
      <c r="H32" s="217"/>
      <c r="I32" s="217"/>
      <c r="J32" s="217"/>
      <c r="K32" s="932"/>
    </row>
    <row r="33" spans="1:11" ht="15.95" customHeight="1">
      <c r="A33" s="713" t="s">
        <v>1568</v>
      </c>
      <c r="B33" s="714"/>
      <c r="C33" s="714"/>
      <c r="D33" s="714"/>
      <c r="E33" s="714"/>
      <c r="F33" s="714"/>
      <c r="G33" s="714"/>
      <c r="H33" s="714"/>
      <c r="I33" s="714"/>
      <c r="J33" s="714"/>
      <c r="K33" s="933"/>
    </row>
    <row r="34" spans="1:11" ht="15.95" customHeight="1">
      <c r="A34" s="256"/>
      <c r="B34" s="193"/>
      <c r="C34" s="193"/>
      <c r="D34" s="193"/>
      <c r="E34" s="193"/>
      <c r="F34" s="193"/>
      <c r="G34" s="193"/>
      <c r="H34" s="193"/>
      <c r="I34" s="193"/>
      <c r="J34" s="237"/>
      <c r="K34" s="928"/>
    </row>
    <row r="35" spans="1:11" ht="15.95" customHeight="1">
      <c r="A35" s="256" t="s">
        <v>1569</v>
      </c>
      <c r="B35" s="193" t="s">
        <v>1570</v>
      </c>
      <c r="C35" s="193" t="s">
        <v>185</v>
      </c>
      <c r="D35" s="193"/>
      <c r="E35" s="193"/>
      <c r="F35" s="193"/>
      <c r="G35" s="193"/>
      <c r="H35" s="193">
        <v>300</v>
      </c>
      <c r="I35" s="193">
        <v>650</v>
      </c>
      <c r="J35" s="237" t="s">
        <v>1562</v>
      </c>
      <c r="K35" s="928">
        <v>170450</v>
      </c>
    </row>
    <row r="36" spans="1:11" ht="15.95" customHeight="1">
      <c r="A36" s="256" t="s">
        <v>1571</v>
      </c>
      <c r="B36" s="193" t="s">
        <v>1570</v>
      </c>
      <c r="C36" s="193" t="s">
        <v>185</v>
      </c>
      <c r="D36" s="193"/>
      <c r="E36" s="193"/>
      <c r="F36" s="193"/>
      <c r="G36" s="193"/>
      <c r="H36" s="193"/>
      <c r="I36" s="193"/>
      <c r="J36" s="237" t="s">
        <v>1562</v>
      </c>
      <c r="K36" s="928"/>
    </row>
    <row r="37" spans="1:11" ht="15.95" customHeight="1">
      <c r="A37" s="256" t="s">
        <v>1572</v>
      </c>
      <c r="B37" s="193"/>
      <c r="C37" s="193"/>
      <c r="D37" s="193"/>
      <c r="E37" s="193"/>
      <c r="F37" s="193"/>
      <c r="G37" s="193"/>
      <c r="H37" s="193">
        <v>40</v>
      </c>
      <c r="I37" s="193"/>
      <c r="J37" s="193"/>
      <c r="K37" s="928">
        <v>2100</v>
      </c>
    </row>
    <row r="38" spans="1:11" ht="15.95" customHeight="1">
      <c r="A38" s="256" t="s">
        <v>1573</v>
      </c>
      <c r="B38" s="193"/>
      <c r="C38" s="193"/>
      <c r="D38" s="193"/>
      <c r="E38" s="193"/>
      <c r="F38" s="193"/>
      <c r="G38" s="193"/>
      <c r="H38" s="193">
        <v>50</v>
      </c>
      <c r="I38" s="193"/>
      <c r="J38" s="193"/>
      <c r="K38" s="928">
        <v>8400</v>
      </c>
    </row>
    <row r="39" spans="1:11" ht="15.95" customHeight="1">
      <c r="A39" s="713" t="s">
        <v>1574</v>
      </c>
      <c r="B39" s="714"/>
      <c r="C39" s="714"/>
      <c r="D39" s="714"/>
      <c r="E39" s="714"/>
      <c r="F39" s="714"/>
      <c r="G39" s="714"/>
      <c r="H39" s="714"/>
      <c r="I39" s="714"/>
      <c r="J39" s="714"/>
      <c r="K39" s="933"/>
    </row>
    <row r="40" spans="1:11" s="399" customFormat="1" ht="15.95" customHeight="1">
      <c r="A40" s="256" t="s">
        <v>1575</v>
      </c>
      <c r="B40" s="193" t="s">
        <v>1576</v>
      </c>
      <c r="C40" s="934" t="s">
        <v>185</v>
      </c>
      <c r="D40" s="193"/>
      <c r="E40" s="193"/>
      <c r="F40" s="193"/>
      <c r="G40" s="193"/>
      <c r="H40" s="193"/>
      <c r="I40" s="193"/>
      <c r="J40" s="237" t="s">
        <v>1562</v>
      </c>
      <c r="K40" s="928">
        <v>2600</v>
      </c>
    </row>
    <row r="41" spans="1:11" s="399" customFormat="1" ht="15.95" customHeight="1">
      <c r="A41" s="256" t="s">
        <v>1577</v>
      </c>
      <c r="B41" s="193" t="s">
        <v>591</v>
      </c>
      <c r="C41" s="934" t="s">
        <v>185</v>
      </c>
      <c r="D41" s="193"/>
      <c r="E41" s="193"/>
      <c r="F41" s="193"/>
      <c r="G41" s="193">
        <v>600</v>
      </c>
      <c r="H41" s="935"/>
      <c r="I41" s="193"/>
      <c r="J41" s="237" t="s">
        <v>1562</v>
      </c>
      <c r="K41" s="928">
        <v>33200</v>
      </c>
    </row>
    <row r="42" spans="1:11" ht="15.95" customHeight="1">
      <c r="A42" s="256" t="s">
        <v>1578</v>
      </c>
      <c r="B42" s="193" t="s">
        <v>591</v>
      </c>
      <c r="C42" s="193"/>
      <c r="D42" s="193"/>
      <c r="E42" s="193"/>
      <c r="F42" s="193"/>
      <c r="G42" s="193">
        <v>2000</v>
      </c>
      <c r="H42" s="294"/>
      <c r="I42" s="193"/>
      <c r="J42" s="237" t="s">
        <v>1562</v>
      </c>
      <c r="K42" s="928">
        <v>53000</v>
      </c>
    </row>
    <row r="43" spans="1:11" ht="15.95" customHeight="1">
      <c r="A43" s="256"/>
      <c r="B43" s="193"/>
      <c r="C43" s="193"/>
      <c r="D43" s="193"/>
      <c r="E43" s="193"/>
      <c r="F43" s="193"/>
      <c r="G43" s="193"/>
      <c r="H43" s="193"/>
      <c r="I43" s="193"/>
      <c r="J43" s="237"/>
      <c r="K43" s="193"/>
    </row>
    <row r="44" spans="1:11" ht="15.95" customHeight="1">
      <c r="A44" s="256"/>
      <c r="B44" s="193"/>
      <c r="C44" s="193"/>
      <c r="D44" s="193"/>
      <c r="E44" s="193"/>
      <c r="F44" s="193"/>
      <c r="G44" s="193"/>
      <c r="H44" s="193"/>
      <c r="I44" s="193"/>
      <c r="J44" s="193"/>
      <c r="K44" s="193"/>
    </row>
    <row r="45" spans="1:11" ht="15.95" customHeight="1">
      <c r="A45" s="713" t="s">
        <v>1579</v>
      </c>
      <c r="B45" s="714"/>
      <c r="C45" s="714"/>
      <c r="D45" s="714"/>
      <c r="E45" s="714"/>
      <c r="F45" s="714"/>
      <c r="G45" s="714"/>
      <c r="H45" s="714"/>
      <c r="I45" s="714"/>
      <c r="J45" s="714"/>
      <c r="K45" s="714"/>
    </row>
    <row r="46" spans="1:11" s="399" customFormat="1" ht="15.95" customHeight="1">
      <c r="A46" s="256"/>
      <c r="B46" s="193"/>
      <c r="C46" s="193"/>
      <c r="D46" s="193"/>
      <c r="E46" s="193"/>
      <c r="F46" s="193"/>
      <c r="G46" s="193"/>
      <c r="H46" s="193"/>
      <c r="I46" s="193"/>
      <c r="J46" s="193"/>
      <c r="K46" s="193"/>
    </row>
    <row r="47" spans="1:11" s="399" customFormat="1" ht="15.95" customHeight="1">
      <c r="A47" s="256"/>
      <c r="B47" s="193"/>
      <c r="C47" s="193"/>
      <c r="D47" s="193"/>
      <c r="E47" s="193"/>
      <c r="F47" s="193"/>
      <c r="G47" s="193"/>
      <c r="H47" s="193"/>
      <c r="I47" s="193"/>
      <c r="J47" s="193"/>
      <c r="K47" s="193"/>
    </row>
    <row r="48" spans="1:11" ht="15.95" customHeight="1">
      <c r="A48" s="256"/>
      <c r="B48" s="193"/>
      <c r="C48" s="193"/>
      <c r="D48" s="193"/>
      <c r="E48" s="193"/>
      <c r="F48" s="193"/>
      <c r="G48" s="193"/>
      <c r="H48" s="193"/>
      <c r="I48" s="193"/>
      <c r="J48" s="193"/>
      <c r="K48" s="193"/>
    </row>
    <row r="49" spans="1:11" ht="15.95" customHeight="1">
      <c r="A49" s="256"/>
      <c r="B49" s="193"/>
      <c r="C49" s="193"/>
      <c r="D49" s="193"/>
      <c r="E49" s="193"/>
      <c r="F49" s="193"/>
      <c r="G49" s="193"/>
      <c r="H49" s="193"/>
      <c r="I49" s="193"/>
      <c r="J49" s="193"/>
      <c r="K49" s="193"/>
    </row>
    <row r="50" spans="1:11" ht="15.95" customHeight="1">
      <c r="A50" s="256"/>
      <c r="B50" s="193"/>
      <c r="C50" s="193"/>
      <c r="D50" s="193"/>
      <c r="E50" s="193"/>
      <c r="F50" s="193"/>
      <c r="G50" s="193"/>
      <c r="H50" s="193"/>
      <c r="I50" s="193"/>
      <c r="J50" s="193"/>
      <c r="K50" s="193"/>
    </row>
    <row r="51" spans="1:11" s="177" customFormat="1" ht="15.95" customHeight="1">
      <c r="A51" s="730" t="s">
        <v>1580</v>
      </c>
      <c r="B51" s="731"/>
      <c r="C51" s="731"/>
      <c r="D51" s="731"/>
      <c r="E51" s="731"/>
      <c r="F51" s="731"/>
      <c r="G51" s="731"/>
      <c r="H51" s="731"/>
      <c r="I51" s="731"/>
      <c r="J51" s="731"/>
      <c r="K51" s="731"/>
    </row>
    <row r="52" spans="1:11" s="732" customFormat="1" ht="15.95" customHeight="1">
      <c r="A52" s="274"/>
      <c r="B52" s="217"/>
      <c r="C52" s="217"/>
      <c r="D52" s="217"/>
      <c r="E52" s="217"/>
      <c r="F52" s="217"/>
      <c r="G52" s="217"/>
      <c r="H52" s="217"/>
      <c r="I52" s="217"/>
      <c r="J52" s="217"/>
      <c r="K52" s="217"/>
    </row>
    <row r="53" spans="1:11" s="732" customFormat="1" ht="15.95" customHeight="1">
      <c r="A53" s="274"/>
      <c r="B53" s="217"/>
      <c r="C53" s="217"/>
      <c r="D53" s="217"/>
      <c r="E53" s="217"/>
      <c r="F53" s="217"/>
      <c r="G53" s="217"/>
      <c r="H53" s="217"/>
      <c r="I53" s="217"/>
      <c r="J53" s="217"/>
      <c r="K53" s="217"/>
    </row>
    <row r="54" spans="1:11" s="732" customFormat="1" ht="15.95" customHeight="1">
      <c r="A54" s="274"/>
      <c r="B54" s="217"/>
      <c r="C54" s="217"/>
      <c r="D54" s="217"/>
      <c r="E54" s="217"/>
      <c r="F54" s="217"/>
      <c r="G54" s="217"/>
      <c r="H54" s="217"/>
      <c r="I54" s="217"/>
      <c r="J54" s="217"/>
      <c r="K54" s="217"/>
    </row>
    <row r="55" spans="1:11" s="732" customFormat="1" ht="15.95" customHeight="1">
      <c r="A55" s="274"/>
      <c r="B55" s="217"/>
      <c r="C55" s="217"/>
      <c r="D55" s="217"/>
      <c r="E55" s="217"/>
      <c r="F55" s="217"/>
      <c r="G55" s="217"/>
      <c r="H55" s="217"/>
      <c r="I55" s="217"/>
      <c r="J55" s="217"/>
      <c r="K55" s="217"/>
    </row>
    <row r="56" spans="1:11" s="177" customFormat="1" ht="15.95" customHeight="1">
      <c r="A56" s="274"/>
      <c r="B56" s="217"/>
      <c r="C56" s="217"/>
      <c r="D56" s="217"/>
      <c r="E56" s="217"/>
      <c r="F56" s="217"/>
      <c r="G56" s="217"/>
      <c r="H56" s="217"/>
      <c r="I56" s="217"/>
      <c r="J56" s="217"/>
      <c r="K56" s="217"/>
    </row>
    <row r="57" spans="1:11" ht="15.95" customHeight="1">
      <c r="A57" s="713" t="s">
        <v>1581</v>
      </c>
      <c r="B57" s="714"/>
      <c r="C57" s="714"/>
      <c r="D57" s="714"/>
      <c r="E57" s="714"/>
      <c r="F57" s="714"/>
      <c r="G57" s="714"/>
      <c r="H57" s="714"/>
      <c r="I57" s="714"/>
      <c r="J57" s="714"/>
      <c r="K57" s="714"/>
    </row>
    <row r="58" spans="1:11" s="732" customFormat="1" ht="15.95" customHeight="1">
      <c r="A58" s="274"/>
      <c r="B58" s="217"/>
      <c r="C58" s="217"/>
      <c r="D58" s="217"/>
      <c r="E58" s="217"/>
      <c r="F58" s="217"/>
      <c r="G58" s="217"/>
      <c r="H58" s="217"/>
      <c r="I58" s="217"/>
      <c r="J58" s="217"/>
      <c r="K58" s="217"/>
    </row>
    <row r="59" spans="1:11" s="732" customFormat="1" ht="15.95" customHeight="1">
      <c r="A59" s="274"/>
      <c r="B59" s="217"/>
      <c r="C59" s="217"/>
      <c r="D59" s="217"/>
      <c r="E59" s="217"/>
      <c r="F59" s="217"/>
      <c r="G59" s="217"/>
      <c r="H59" s="217"/>
      <c r="I59" s="217"/>
      <c r="J59" s="217"/>
      <c r="K59" s="217"/>
    </row>
    <row r="60" spans="1:11" s="732" customFormat="1" ht="15.95" customHeight="1">
      <c r="A60" s="274"/>
      <c r="B60" s="217"/>
      <c r="C60" s="217"/>
      <c r="D60" s="217"/>
      <c r="E60" s="217"/>
      <c r="F60" s="217"/>
      <c r="G60" s="217"/>
      <c r="H60" s="217"/>
      <c r="I60" s="217"/>
      <c r="J60" s="217"/>
      <c r="K60" s="217"/>
    </row>
    <row r="61" spans="1:11" s="177" customFormat="1" ht="15.95" customHeight="1">
      <c r="A61" s="274"/>
      <c r="B61" s="217"/>
      <c r="C61" s="217"/>
      <c r="D61" s="217"/>
      <c r="E61" s="217"/>
      <c r="F61" s="217"/>
      <c r="G61" s="217"/>
      <c r="H61" s="217"/>
      <c r="I61" s="217"/>
      <c r="J61" s="217"/>
      <c r="K61" s="217"/>
    </row>
    <row r="62" spans="1:11" ht="15.95" customHeight="1">
      <c r="A62" s="256"/>
      <c r="B62" s="193"/>
      <c r="C62" s="193"/>
      <c r="D62" s="193"/>
      <c r="E62" s="193"/>
      <c r="F62" s="193"/>
      <c r="G62" s="193"/>
      <c r="H62" s="193"/>
      <c r="I62" s="193"/>
      <c r="J62" s="193"/>
      <c r="K62" s="193"/>
    </row>
    <row r="63" spans="1:11" ht="15.95" customHeight="1">
      <c r="A63" s="241"/>
      <c r="B63" s="242"/>
      <c r="C63" s="242"/>
      <c r="D63" s="242"/>
      <c r="E63" s="242"/>
      <c r="F63" s="242"/>
      <c r="G63" s="242"/>
      <c r="H63" s="242"/>
      <c r="I63" s="242"/>
      <c r="J63" s="242"/>
      <c r="K63" s="242"/>
    </row>
    <row r="64" spans="1:11">
      <c r="A64" s="245"/>
      <c r="B64" s="246"/>
      <c r="C64" s="246"/>
      <c r="D64" s="246"/>
      <c r="E64" s="246"/>
      <c r="F64" s="246"/>
      <c r="G64" s="246"/>
      <c r="H64" s="246"/>
      <c r="I64" s="246"/>
      <c r="J64" s="246"/>
      <c r="K64" s="246"/>
    </row>
  </sheetData>
  <mergeCells count="10">
    <mergeCell ref="J8:J9"/>
    <mergeCell ref="K8:K9"/>
    <mergeCell ref="H7:I7"/>
    <mergeCell ref="A8:A9"/>
    <mergeCell ref="B8:B9"/>
    <mergeCell ref="C8:C9"/>
    <mergeCell ref="D8:D9"/>
    <mergeCell ref="E8:F8"/>
    <mergeCell ref="G8:G9"/>
    <mergeCell ref="H8:I8"/>
  </mergeCells>
  <pageMargins left="0.22" right="0.16" top="0.74803149606299213" bottom="0.74803149606299213" header="0.31496062992125984" footer="0.31496062992125984"/>
  <pageSetup paperSize="9" scale="4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K91"/>
  <sheetViews>
    <sheetView showGridLines="0" workbookViewId="0">
      <pane xSplit="2" ySplit="5" topLeftCell="C6" activePane="bottomRight" state="frozen"/>
      <selection pane="topRight"/>
      <selection pane="bottomLeft"/>
      <selection pane="bottomRight"/>
    </sheetView>
  </sheetViews>
  <sheetFormatPr baseColWidth="10" defaultRowHeight="15"/>
  <cols>
    <col min="1" max="1" width="65.140625" customWidth="1"/>
    <col min="2" max="6" width="17.7109375" customWidth="1"/>
    <col min="7" max="7" width="19.42578125" customWidth="1"/>
    <col min="8" max="11" width="17.7109375" customWidth="1"/>
  </cols>
  <sheetData>
    <row r="1" spans="1:11" s="177" customFormat="1" ht="21" customHeight="1">
      <c r="A1" s="175" t="s">
        <v>235</v>
      </c>
      <c r="B1" s="176"/>
    </row>
    <row r="2" spans="1:11" s="177" customFormat="1" ht="19.5" customHeight="1">
      <c r="A2" s="178" t="s">
        <v>1752</v>
      </c>
      <c r="B2" s="176"/>
      <c r="C2" s="179"/>
      <c r="D2" s="179"/>
      <c r="E2" s="179"/>
      <c r="F2" s="179"/>
      <c r="G2" s="179"/>
      <c r="H2" s="179"/>
      <c r="I2" s="179"/>
      <c r="J2" s="179"/>
      <c r="K2" s="180" t="s">
        <v>234</v>
      </c>
    </row>
    <row r="3" spans="1:11" s="177" customFormat="1" ht="22.5" customHeight="1">
      <c r="A3" s="181" t="s">
        <v>1751</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ht="18.75" customHeight="1">
      <c r="A6" s="248"/>
      <c r="D6" s="419"/>
      <c r="E6" s="419"/>
      <c r="F6" s="419"/>
      <c r="G6" s="248"/>
      <c r="H6" s="419"/>
      <c r="I6" s="419"/>
      <c r="K6" s="419"/>
    </row>
    <row r="7" spans="1:11" s="177" customFormat="1">
      <c r="A7" s="184" t="s">
        <v>228</v>
      </c>
      <c r="B7" s="184" t="s">
        <v>227</v>
      </c>
      <c r="C7" s="184" t="s">
        <v>226</v>
      </c>
      <c r="D7" s="184"/>
      <c r="E7" s="183" t="s">
        <v>225</v>
      </c>
      <c r="F7" s="183"/>
      <c r="G7" s="184" t="s">
        <v>224</v>
      </c>
      <c r="H7" s="1381" t="s">
        <v>223</v>
      </c>
      <c r="I7" s="1381"/>
      <c r="J7" s="184" t="s">
        <v>222</v>
      </c>
      <c r="K7" s="184" t="s">
        <v>221</v>
      </c>
    </row>
    <row r="8" spans="1:11" s="186" customFormat="1">
      <c r="A8" s="1382" t="s">
        <v>220</v>
      </c>
      <c r="B8" s="1379" t="s">
        <v>219</v>
      </c>
      <c r="C8" s="1379" t="s">
        <v>218</v>
      </c>
      <c r="D8" s="1379" t="s">
        <v>217</v>
      </c>
      <c r="E8" s="1379" t="s">
        <v>216</v>
      </c>
      <c r="F8" s="1379"/>
      <c r="G8" s="1379" t="s">
        <v>215</v>
      </c>
      <c r="H8" s="1379" t="s">
        <v>214</v>
      </c>
      <c r="I8" s="1379"/>
      <c r="J8" s="1379" t="s">
        <v>240</v>
      </c>
      <c r="K8" s="1380" t="s">
        <v>212</v>
      </c>
    </row>
    <row r="9" spans="1:11" s="186" customFormat="1">
      <c r="A9" s="1382"/>
      <c r="B9" s="1379"/>
      <c r="C9" s="1379"/>
      <c r="D9" s="1379"/>
      <c r="E9" s="187" t="s">
        <v>211</v>
      </c>
      <c r="F9" s="187" t="s">
        <v>210</v>
      </c>
      <c r="G9" s="1379"/>
      <c r="H9" s="187" t="s">
        <v>211</v>
      </c>
      <c r="I9" s="187" t="s">
        <v>210</v>
      </c>
      <c r="J9" s="1379"/>
      <c r="K9" s="1380"/>
    </row>
    <row r="10" spans="1:11" ht="15.95" customHeight="1">
      <c r="A10" s="188" t="s">
        <v>208</v>
      </c>
      <c r="B10" s="189"/>
      <c r="C10" s="189"/>
      <c r="D10" s="189"/>
      <c r="E10" s="189"/>
      <c r="F10" s="189"/>
      <c r="G10" s="189"/>
      <c r="H10" s="189"/>
      <c r="I10" s="189"/>
      <c r="J10" s="189"/>
      <c r="K10" s="190">
        <f>SUM(K11)</f>
        <v>0</v>
      </c>
    </row>
    <row r="11" spans="1:11" ht="19.5" customHeight="1">
      <c r="A11" s="192"/>
      <c r="B11" s="193"/>
      <c r="C11" s="193"/>
      <c r="D11" s="194"/>
      <c r="E11" s="194"/>
      <c r="F11" s="194"/>
      <c r="G11" s="193"/>
      <c r="H11" s="193"/>
      <c r="I11" s="193"/>
      <c r="J11" s="193"/>
      <c r="K11" s="195"/>
    </row>
    <row r="12" spans="1:11" ht="15.95" customHeight="1">
      <c r="A12" s="188" t="s">
        <v>207</v>
      </c>
      <c r="B12" s="189"/>
      <c r="C12" s="189"/>
      <c r="D12" s="196"/>
      <c r="E12" s="196"/>
      <c r="F12" s="196"/>
      <c r="G12" s="189"/>
      <c r="H12" s="189"/>
      <c r="I12" s="189"/>
      <c r="J12" s="189"/>
      <c r="K12" s="190">
        <f>SUM(K13:K25)</f>
        <v>4552865.53</v>
      </c>
    </row>
    <row r="13" spans="1:11" ht="15.95" customHeight="1">
      <c r="A13" s="192" t="s">
        <v>1750</v>
      </c>
      <c r="B13" s="193" t="s">
        <v>1749</v>
      </c>
      <c r="C13" s="193" t="s">
        <v>345</v>
      </c>
      <c r="D13" s="194" t="s">
        <v>1748</v>
      </c>
      <c r="E13" s="194" t="s">
        <v>1747</v>
      </c>
      <c r="F13" s="194" t="s">
        <v>1746</v>
      </c>
      <c r="G13" s="943">
        <v>533</v>
      </c>
      <c r="H13" s="943">
        <f>60*8.882</f>
        <v>532.91999999999996</v>
      </c>
      <c r="I13" s="943">
        <f>600*8.882</f>
        <v>5329.2</v>
      </c>
      <c r="J13" s="193" t="s">
        <v>1691</v>
      </c>
      <c r="K13" s="195">
        <v>2810323.93</v>
      </c>
    </row>
    <row r="14" spans="1:11" ht="15.95" customHeight="1">
      <c r="A14" s="192" t="s">
        <v>1745</v>
      </c>
      <c r="B14" s="193" t="s">
        <v>1742</v>
      </c>
      <c r="C14" s="193" t="s">
        <v>345</v>
      </c>
      <c r="D14" s="194"/>
      <c r="E14" s="194"/>
      <c r="F14" s="194"/>
      <c r="G14" s="193"/>
      <c r="H14" s="943">
        <f>20*8.882</f>
        <v>177.64</v>
      </c>
      <c r="I14" s="943">
        <f>30*8.882</f>
        <v>266.45999999999998</v>
      </c>
      <c r="J14" s="193" t="s">
        <v>1691</v>
      </c>
      <c r="K14" s="195">
        <v>1073982.18</v>
      </c>
    </row>
    <row r="15" spans="1:11" ht="15.95" customHeight="1">
      <c r="A15" s="192" t="s">
        <v>347</v>
      </c>
      <c r="B15" s="193" t="s">
        <v>1744</v>
      </c>
      <c r="C15" s="193" t="s">
        <v>345</v>
      </c>
      <c r="D15" s="194"/>
      <c r="E15" s="194"/>
      <c r="F15" s="194"/>
      <c r="G15" s="193"/>
      <c r="H15" s="943">
        <f>8.882*10</f>
        <v>88.82</v>
      </c>
      <c r="I15" s="943">
        <f>8.882*15*4</f>
        <v>532.91999999999996</v>
      </c>
      <c r="J15" s="193" t="s">
        <v>1691</v>
      </c>
      <c r="K15" s="195">
        <v>596683.61</v>
      </c>
    </row>
    <row r="16" spans="1:11" ht="15.95" customHeight="1">
      <c r="A16" s="192" t="s">
        <v>1743</v>
      </c>
      <c r="B16" s="193" t="s">
        <v>1742</v>
      </c>
      <c r="C16" s="193" t="s">
        <v>345</v>
      </c>
      <c r="D16" s="194"/>
      <c r="E16" s="194"/>
      <c r="F16" s="194"/>
      <c r="G16" s="193"/>
      <c r="H16" s="943">
        <f>15*8.882</f>
        <v>133.22999999999999</v>
      </c>
      <c r="I16" s="943">
        <f>20*8.882</f>
        <v>177.64</v>
      </c>
      <c r="J16" s="193" t="s">
        <v>1691</v>
      </c>
      <c r="K16" s="195">
        <v>71875.81</v>
      </c>
    </row>
    <row r="17" spans="1:11" ht="15.95" customHeight="1">
      <c r="A17" s="192" t="s">
        <v>1741</v>
      </c>
      <c r="B17" s="193"/>
      <c r="C17" s="193"/>
      <c r="D17" s="194"/>
      <c r="E17" s="194"/>
      <c r="F17" s="194"/>
      <c r="G17" s="193"/>
      <c r="H17" s="943"/>
      <c r="I17" s="943"/>
      <c r="J17" s="193"/>
      <c r="K17" s="195"/>
    </row>
    <row r="18" spans="1:11" ht="15.95" customHeight="1">
      <c r="A18" s="192"/>
      <c r="B18" s="193"/>
      <c r="C18" s="193"/>
      <c r="D18" s="194"/>
      <c r="E18" s="194"/>
      <c r="F18" s="194"/>
      <c r="G18" s="193"/>
      <c r="H18" s="943"/>
      <c r="I18" s="943"/>
      <c r="J18" s="193"/>
      <c r="K18" s="195"/>
    </row>
    <row r="19" spans="1:11" ht="15.95" customHeight="1">
      <c r="A19" s="192"/>
      <c r="B19" s="193"/>
      <c r="C19" s="193"/>
      <c r="D19" s="194"/>
      <c r="E19" s="194"/>
      <c r="F19" s="194"/>
      <c r="G19" s="193"/>
      <c r="H19" s="943"/>
      <c r="I19" s="943"/>
      <c r="J19" s="193"/>
      <c r="K19" s="195"/>
    </row>
    <row r="20" spans="1:11" ht="15.95" customHeight="1">
      <c r="A20" s="192"/>
      <c r="B20" s="193"/>
      <c r="C20" s="193"/>
      <c r="D20" s="194"/>
      <c r="E20" s="194"/>
      <c r="F20" s="194"/>
      <c r="G20" s="193"/>
      <c r="H20" s="193"/>
      <c r="I20" s="193"/>
      <c r="J20" s="193"/>
      <c r="K20" s="195"/>
    </row>
    <row r="21" spans="1:11" ht="15.95" customHeight="1">
      <c r="A21" s="192"/>
      <c r="B21" s="193"/>
      <c r="C21" s="193"/>
      <c r="D21" s="194"/>
      <c r="E21" s="194"/>
      <c r="F21" s="194"/>
      <c r="G21" s="193"/>
      <c r="H21" s="193"/>
      <c r="I21" s="193"/>
      <c r="J21" s="193"/>
      <c r="K21" s="195"/>
    </row>
    <row r="22" spans="1:11" ht="15.95" customHeight="1">
      <c r="A22" s="192"/>
      <c r="B22" s="193"/>
      <c r="C22" s="193"/>
      <c r="D22" s="194"/>
      <c r="E22" s="194"/>
      <c r="F22" s="194"/>
      <c r="G22" s="193"/>
      <c r="H22" s="193"/>
      <c r="I22" s="193"/>
      <c r="J22" s="193"/>
      <c r="K22" s="195"/>
    </row>
    <row r="23" spans="1:11" ht="15.95" customHeight="1">
      <c r="A23" s="192"/>
      <c r="B23" s="193"/>
      <c r="C23" s="193"/>
      <c r="D23" s="194"/>
      <c r="E23" s="194"/>
      <c r="F23" s="194"/>
      <c r="G23" s="193"/>
      <c r="H23" s="193"/>
      <c r="I23" s="193"/>
      <c r="J23" s="193"/>
      <c r="K23" s="195"/>
    </row>
    <row r="24" spans="1:11" ht="15.95" customHeight="1">
      <c r="A24" s="192"/>
      <c r="B24" s="193"/>
      <c r="C24" s="193"/>
      <c r="D24" s="194"/>
      <c r="E24" s="194"/>
      <c r="F24" s="194"/>
      <c r="G24" s="193"/>
      <c r="H24" s="193"/>
      <c r="I24" s="193"/>
      <c r="J24" s="193"/>
      <c r="K24" s="195"/>
    </row>
    <row r="25" spans="1:11" ht="15.95" customHeight="1">
      <c r="A25" s="192"/>
      <c r="B25" s="193"/>
      <c r="C25" s="193"/>
      <c r="D25" s="194"/>
      <c r="E25" s="194"/>
      <c r="F25" s="194"/>
      <c r="G25" s="193"/>
      <c r="H25" s="193"/>
      <c r="I25" s="193"/>
      <c r="J25" s="193"/>
      <c r="K25" s="195"/>
    </row>
    <row r="26" spans="1:11" s="177" customFormat="1" ht="15.95" customHeight="1">
      <c r="A26" s="209" t="s">
        <v>191</v>
      </c>
      <c r="B26" s="210"/>
      <c r="C26" s="210"/>
      <c r="D26" s="211"/>
      <c r="E26" s="211"/>
      <c r="F26" s="211"/>
      <c r="G26" s="210"/>
      <c r="H26" s="210"/>
      <c r="I26" s="210"/>
      <c r="J26" s="210"/>
      <c r="K26" s="213">
        <f>SUM(K27:K50)</f>
        <v>9086424.6699999999</v>
      </c>
    </row>
    <row r="27" spans="1:11" s="177" customFormat="1" ht="15.95" customHeight="1">
      <c r="A27" s="949" t="s">
        <v>1740</v>
      </c>
      <c r="B27" s="217" t="s">
        <v>1739</v>
      </c>
      <c r="C27" s="217" t="s">
        <v>345</v>
      </c>
      <c r="D27" s="216"/>
      <c r="E27" s="216"/>
      <c r="F27" s="216"/>
      <c r="G27" s="945"/>
      <c r="H27" s="945"/>
      <c r="I27" s="945"/>
      <c r="J27" s="193" t="s">
        <v>1738</v>
      </c>
      <c r="K27" s="219">
        <v>8533938.9100000001</v>
      </c>
    </row>
    <row r="28" spans="1:11" s="177" customFormat="1" ht="15.95" customHeight="1">
      <c r="A28" s="192" t="s">
        <v>1737</v>
      </c>
      <c r="B28" s="217"/>
      <c r="C28" s="217" t="s">
        <v>354</v>
      </c>
      <c r="D28" s="216"/>
      <c r="E28" s="216"/>
      <c r="F28" s="216"/>
      <c r="G28" s="945">
        <f>50*8.882</f>
        <v>444.09999999999997</v>
      </c>
      <c r="H28" s="685"/>
      <c r="I28" s="945"/>
      <c r="J28" s="193" t="s">
        <v>1691</v>
      </c>
      <c r="K28" s="219">
        <v>552485.76</v>
      </c>
    </row>
    <row r="29" spans="1:11" s="177" customFormat="1" ht="15.95" customHeight="1">
      <c r="A29" s="192" t="s">
        <v>1736</v>
      </c>
      <c r="B29" s="217" t="s">
        <v>1692</v>
      </c>
      <c r="C29" s="217" t="s">
        <v>352</v>
      </c>
      <c r="D29" s="216"/>
      <c r="E29" s="216"/>
      <c r="F29" s="216"/>
      <c r="G29" s="945"/>
      <c r="H29" s="945">
        <f>20*8.882</f>
        <v>177.64</v>
      </c>
      <c r="I29" s="945">
        <f>8.882*45</f>
        <v>399.69</v>
      </c>
      <c r="J29" s="193" t="s">
        <v>1691</v>
      </c>
      <c r="K29" s="219"/>
    </row>
    <row r="30" spans="1:11" s="177" customFormat="1" ht="15.95" customHeight="1">
      <c r="A30" s="192" t="s">
        <v>1735</v>
      </c>
      <c r="B30" s="217" t="s">
        <v>1692</v>
      </c>
      <c r="C30" s="217" t="s">
        <v>1734</v>
      </c>
      <c r="D30" s="216">
        <v>0.03</v>
      </c>
      <c r="E30" s="216"/>
      <c r="F30" s="216"/>
      <c r="G30" s="945">
        <f>150*8.882</f>
        <v>1332.3</v>
      </c>
      <c r="H30" s="948"/>
      <c r="I30" s="945"/>
      <c r="J30" s="193" t="s">
        <v>1691</v>
      </c>
      <c r="K30" s="219"/>
    </row>
    <row r="31" spans="1:11" s="177" customFormat="1" ht="15.95" customHeight="1">
      <c r="A31" s="192" t="s">
        <v>1733</v>
      </c>
      <c r="B31" s="217" t="s">
        <v>1732</v>
      </c>
      <c r="C31" s="217" t="s">
        <v>354</v>
      </c>
      <c r="D31" s="216">
        <v>0.03</v>
      </c>
      <c r="E31" s="216"/>
      <c r="F31" s="216"/>
      <c r="G31" s="945"/>
      <c r="H31" s="945"/>
      <c r="I31" s="945"/>
      <c r="J31" s="193" t="s">
        <v>1691</v>
      </c>
      <c r="K31" s="219"/>
    </row>
    <row r="32" spans="1:11" s="177" customFormat="1" ht="15.95" customHeight="1">
      <c r="A32" s="192" t="s">
        <v>1731</v>
      </c>
      <c r="B32" s="217" t="s">
        <v>1730</v>
      </c>
      <c r="C32" s="217" t="s">
        <v>354</v>
      </c>
      <c r="D32" s="216">
        <v>0.08</v>
      </c>
      <c r="E32" s="216"/>
      <c r="F32" s="216"/>
      <c r="G32" s="945"/>
      <c r="H32" s="945"/>
      <c r="I32" s="945"/>
      <c r="J32" s="193" t="s">
        <v>1691</v>
      </c>
      <c r="K32" s="219"/>
    </row>
    <row r="33" spans="1:11" s="177" customFormat="1" ht="15.95" customHeight="1">
      <c r="A33" s="192" t="s">
        <v>1729</v>
      </c>
      <c r="B33" s="217"/>
      <c r="C33" s="217" t="s">
        <v>354</v>
      </c>
      <c r="D33" s="216"/>
      <c r="E33" s="216"/>
      <c r="F33" s="216"/>
      <c r="G33" s="945">
        <f t="shared" ref="G33:G38" si="0">100*8.882</f>
        <v>888.19999999999993</v>
      </c>
      <c r="H33" s="945"/>
      <c r="I33" s="945"/>
      <c r="J33" s="193" t="s">
        <v>1691</v>
      </c>
      <c r="K33" s="219"/>
    </row>
    <row r="34" spans="1:11" s="177" customFormat="1" ht="15.95" customHeight="1">
      <c r="A34" s="192" t="s">
        <v>1728</v>
      </c>
      <c r="B34" s="217"/>
      <c r="C34" s="217" t="s">
        <v>354</v>
      </c>
      <c r="D34" s="216"/>
      <c r="E34" s="216"/>
      <c r="F34" s="216"/>
      <c r="G34" s="945">
        <f t="shared" si="0"/>
        <v>888.19999999999993</v>
      </c>
      <c r="H34" s="945"/>
      <c r="I34" s="945"/>
      <c r="J34" s="193" t="s">
        <v>1691</v>
      </c>
      <c r="K34" s="219"/>
    </row>
    <row r="35" spans="1:11" s="177" customFormat="1" ht="15.95" customHeight="1">
      <c r="A35" s="192" t="s">
        <v>1727</v>
      </c>
      <c r="B35" s="217"/>
      <c r="C35" s="217" t="s">
        <v>354</v>
      </c>
      <c r="D35" s="216"/>
      <c r="E35" s="216"/>
      <c r="F35" s="216"/>
      <c r="G35" s="945">
        <f t="shared" si="0"/>
        <v>888.19999999999993</v>
      </c>
      <c r="H35" s="945"/>
      <c r="I35" s="945"/>
      <c r="J35" s="193" t="s">
        <v>1691</v>
      </c>
      <c r="K35" s="219"/>
    </row>
    <row r="36" spans="1:11" s="177" customFormat="1" ht="15.95" customHeight="1">
      <c r="A36" s="192" t="s">
        <v>1726</v>
      </c>
      <c r="B36" s="217"/>
      <c r="C36" s="217" t="s">
        <v>354</v>
      </c>
      <c r="D36" s="216"/>
      <c r="E36" s="216"/>
      <c r="F36" s="216"/>
      <c r="G36" s="945">
        <f t="shared" si="0"/>
        <v>888.19999999999993</v>
      </c>
      <c r="H36" s="945"/>
      <c r="I36" s="945"/>
      <c r="J36" s="193" t="s">
        <v>1691</v>
      </c>
      <c r="K36" s="219"/>
    </row>
    <row r="37" spans="1:11" s="177" customFormat="1" ht="15.95" customHeight="1">
      <c r="A37" s="192" t="s">
        <v>1725</v>
      </c>
      <c r="B37" s="217"/>
      <c r="C37" s="217" t="s">
        <v>354</v>
      </c>
      <c r="D37" s="216"/>
      <c r="E37" s="216"/>
      <c r="F37" s="216"/>
      <c r="G37" s="945">
        <f t="shared" si="0"/>
        <v>888.19999999999993</v>
      </c>
      <c r="H37" s="945"/>
      <c r="I37" s="945"/>
      <c r="J37" s="193" t="s">
        <v>1691</v>
      </c>
      <c r="K37" s="219"/>
    </row>
    <row r="38" spans="1:11" s="177" customFormat="1" ht="15.95" customHeight="1">
      <c r="A38" s="192" t="s">
        <v>1724</v>
      </c>
      <c r="B38" s="217"/>
      <c r="C38" s="217" t="s">
        <v>354</v>
      </c>
      <c r="D38" s="216"/>
      <c r="E38" s="216"/>
      <c r="F38" s="216"/>
      <c r="G38" s="945">
        <f t="shared" si="0"/>
        <v>888.19999999999993</v>
      </c>
      <c r="H38" s="945"/>
      <c r="I38" s="945"/>
      <c r="J38" s="193" t="s">
        <v>1691</v>
      </c>
      <c r="K38" s="219"/>
    </row>
    <row r="39" spans="1:11" s="177" customFormat="1" ht="15.95" customHeight="1">
      <c r="A39" s="192" t="s">
        <v>1723</v>
      </c>
      <c r="B39" s="217"/>
      <c r="C39" s="217" t="s">
        <v>354</v>
      </c>
      <c r="D39" s="216"/>
      <c r="E39" s="216"/>
      <c r="F39" s="216"/>
      <c r="G39" s="945">
        <f>150*8.882</f>
        <v>1332.3</v>
      </c>
      <c r="H39" s="945"/>
      <c r="I39" s="945"/>
      <c r="J39" s="193" t="s">
        <v>1691</v>
      </c>
      <c r="K39" s="219"/>
    </row>
    <row r="40" spans="1:11" s="177" customFormat="1" ht="15.95" customHeight="1">
      <c r="A40" s="192" t="s">
        <v>1722</v>
      </c>
      <c r="B40" s="217"/>
      <c r="C40" s="217" t="s">
        <v>354</v>
      </c>
      <c r="D40" s="216"/>
      <c r="E40" s="216"/>
      <c r="F40" s="216"/>
      <c r="G40" s="945">
        <f>150*8.882</f>
        <v>1332.3</v>
      </c>
      <c r="H40" s="945"/>
      <c r="I40" s="945"/>
      <c r="J40" s="193" t="s">
        <v>1691</v>
      </c>
      <c r="K40" s="219"/>
    </row>
    <row r="41" spans="1:11" s="177" customFormat="1" ht="15.95" customHeight="1">
      <c r="A41" s="192" t="s">
        <v>1721</v>
      </c>
      <c r="B41" s="217"/>
      <c r="C41" s="217" t="s">
        <v>354</v>
      </c>
      <c r="D41" s="216"/>
      <c r="E41" s="216"/>
      <c r="F41" s="216"/>
      <c r="G41" s="945">
        <f>75*8.882</f>
        <v>666.15</v>
      </c>
      <c r="H41" s="945"/>
      <c r="I41" s="945"/>
      <c r="J41" s="193" t="s">
        <v>1691</v>
      </c>
      <c r="K41" s="219"/>
    </row>
    <row r="42" spans="1:11" s="177" customFormat="1" ht="15.95" customHeight="1">
      <c r="A42" s="192" t="s">
        <v>1720</v>
      </c>
      <c r="B42" s="217"/>
      <c r="C42" s="217" t="s">
        <v>354</v>
      </c>
      <c r="D42" s="216"/>
      <c r="E42" s="216"/>
      <c r="F42" s="216"/>
      <c r="G42" s="945">
        <f>20*8.882</f>
        <v>177.64</v>
      </c>
      <c r="H42" s="945"/>
      <c r="I42" s="945"/>
      <c r="J42" s="193" t="s">
        <v>1691</v>
      </c>
      <c r="K42" s="219"/>
    </row>
    <row r="43" spans="1:11" s="177" customFormat="1" ht="15.95" customHeight="1">
      <c r="A43" s="947"/>
      <c r="B43" s="217"/>
      <c r="C43" s="217"/>
      <c r="D43" s="216"/>
      <c r="E43" s="216"/>
      <c r="F43" s="216"/>
      <c r="G43" s="945"/>
      <c r="H43" s="945"/>
      <c r="I43" s="945"/>
      <c r="J43" s="193"/>
      <c r="K43" s="219"/>
    </row>
    <row r="44" spans="1:11" s="177" customFormat="1" ht="15.95" customHeight="1">
      <c r="A44" s="192"/>
      <c r="B44" s="217"/>
      <c r="C44" s="217"/>
      <c r="D44" s="216"/>
      <c r="E44" s="216"/>
      <c r="F44" s="216"/>
      <c r="G44" s="945"/>
      <c r="H44" s="945"/>
      <c r="I44" s="945"/>
      <c r="J44" s="193"/>
      <c r="K44" s="219"/>
    </row>
    <row r="45" spans="1:11" s="177" customFormat="1" ht="15.95" customHeight="1">
      <c r="A45" s="192"/>
      <c r="B45" s="217"/>
      <c r="C45" s="217"/>
      <c r="D45" s="216"/>
      <c r="E45" s="216"/>
      <c r="F45" s="216"/>
      <c r="G45" s="945"/>
      <c r="H45" s="945"/>
      <c r="I45" s="945"/>
      <c r="J45" s="193"/>
      <c r="K45" s="219"/>
    </row>
    <row r="46" spans="1:11" s="177" customFormat="1" ht="15.95" customHeight="1">
      <c r="A46" s="192"/>
      <c r="B46" s="217"/>
      <c r="C46" s="217"/>
      <c r="D46" s="216"/>
      <c r="E46" s="216"/>
      <c r="F46" s="216"/>
      <c r="G46" s="945"/>
      <c r="H46" s="945"/>
      <c r="I46" s="945"/>
      <c r="J46" s="193"/>
      <c r="K46" s="219"/>
    </row>
    <row r="47" spans="1:11" s="177" customFormat="1" ht="15.95" customHeight="1">
      <c r="A47" s="192"/>
      <c r="B47" s="217"/>
      <c r="C47" s="217"/>
      <c r="D47" s="216"/>
      <c r="E47" s="216"/>
      <c r="F47" s="216"/>
      <c r="G47" s="945"/>
      <c r="H47" s="945"/>
      <c r="I47" s="945"/>
      <c r="J47" s="193"/>
      <c r="K47" s="219"/>
    </row>
    <row r="48" spans="1:11" s="177" customFormat="1" ht="15.95" customHeight="1">
      <c r="A48" s="192"/>
      <c r="B48" s="217"/>
      <c r="C48" s="217"/>
      <c r="D48" s="216"/>
      <c r="E48" s="216"/>
      <c r="F48" s="216"/>
      <c r="G48" s="945"/>
      <c r="H48" s="945"/>
      <c r="I48" s="945"/>
      <c r="J48" s="193"/>
      <c r="K48" s="219"/>
    </row>
    <row r="49" spans="1:11" s="177" customFormat="1" ht="15.95" customHeight="1">
      <c r="A49" s="192"/>
      <c r="B49" s="217"/>
      <c r="C49" s="217"/>
      <c r="D49" s="216"/>
      <c r="E49" s="216"/>
      <c r="F49" s="216"/>
      <c r="G49" s="945"/>
      <c r="H49" s="945"/>
      <c r="I49" s="945"/>
      <c r="J49" s="193"/>
      <c r="K49" s="219"/>
    </row>
    <row r="50" spans="1:11" s="177" customFormat="1" ht="15.95" customHeight="1">
      <c r="A50" s="192"/>
      <c r="B50" s="217"/>
      <c r="C50" s="217"/>
      <c r="D50" s="216"/>
      <c r="E50" s="216"/>
      <c r="F50" s="216"/>
      <c r="G50" s="945"/>
      <c r="H50" s="945"/>
      <c r="I50" s="945"/>
      <c r="J50" s="217"/>
      <c r="K50" s="219"/>
    </row>
    <row r="51" spans="1:11" ht="15.95" customHeight="1">
      <c r="A51" s="188" t="s">
        <v>179</v>
      </c>
      <c r="B51" s="189"/>
      <c r="C51" s="189"/>
      <c r="D51" s="196"/>
      <c r="E51" s="196"/>
      <c r="F51" s="196"/>
      <c r="G51" s="944"/>
      <c r="H51" s="944"/>
      <c r="I51" s="944"/>
      <c r="J51" s="189"/>
      <c r="K51" s="190">
        <f>SUM(K52:K73)</f>
        <v>862751.97</v>
      </c>
    </row>
    <row r="52" spans="1:11" ht="15.95" customHeight="1">
      <c r="A52" s="192" t="s">
        <v>1395</v>
      </c>
      <c r="B52" s="193" t="s">
        <v>1692</v>
      </c>
      <c r="C52" s="193" t="s">
        <v>383</v>
      </c>
      <c r="D52" s="194"/>
      <c r="E52" s="194"/>
      <c r="F52" s="194"/>
      <c r="G52" s="943">
        <f>30*8.882</f>
        <v>266.45999999999998</v>
      </c>
      <c r="H52" s="943"/>
      <c r="I52" s="943"/>
      <c r="J52" s="193" t="s">
        <v>1691</v>
      </c>
      <c r="K52" s="195">
        <v>272038.27</v>
      </c>
    </row>
    <row r="53" spans="1:11" ht="15.95" customHeight="1">
      <c r="A53" s="192" t="s">
        <v>1719</v>
      </c>
      <c r="B53" s="193" t="s">
        <v>1692</v>
      </c>
      <c r="C53" s="193" t="s">
        <v>352</v>
      </c>
      <c r="D53" s="194"/>
      <c r="E53" s="194"/>
      <c r="F53" s="194"/>
      <c r="G53" s="943">
        <v>136000</v>
      </c>
      <c r="H53" s="943"/>
      <c r="I53" s="943"/>
      <c r="J53" s="193" t="s">
        <v>1691</v>
      </c>
      <c r="K53" s="195">
        <v>380000</v>
      </c>
    </row>
    <row r="54" spans="1:11" ht="15.95" customHeight="1">
      <c r="A54" s="192" t="s">
        <v>1718</v>
      </c>
      <c r="B54" s="193" t="s">
        <v>1692</v>
      </c>
      <c r="C54" s="193" t="s">
        <v>354</v>
      </c>
      <c r="D54" s="194"/>
      <c r="E54" s="194"/>
      <c r="F54" s="194"/>
      <c r="G54" s="943">
        <f>100*8.882</f>
        <v>888.19999999999993</v>
      </c>
      <c r="H54" s="943"/>
      <c r="I54" s="943"/>
      <c r="J54" s="193" t="s">
        <v>1691</v>
      </c>
      <c r="K54" s="195">
        <v>210713.7</v>
      </c>
    </row>
    <row r="55" spans="1:11" ht="15.95" customHeight="1">
      <c r="A55" s="192" t="s">
        <v>1717</v>
      </c>
      <c r="B55" s="193" t="s">
        <v>1714</v>
      </c>
      <c r="C55" s="193" t="s">
        <v>1716</v>
      </c>
      <c r="D55" s="194"/>
      <c r="E55" s="194"/>
      <c r="F55" s="194"/>
      <c r="G55" s="943">
        <f>8.885*48</f>
        <v>426.48</v>
      </c>
      <c r="H55" s="943"/>
      <c r="I55" s="943"/>
      <c r="J55" s="193" t="s">
        <v>1691</v>
      </c>
      <c r="K55" s="195"/>
    </row>
    <row r="56" spans="1:11" ht="15.95" customHeight="1">
      <c r="A56" s="192" t="s">
        <v>1715</v>
      </c>
      <c r="B56" s="193" t="s">
        <v>1714</v>
      </c>
      <c r="C56" s="193" t="s">
        <v>352</v>
      </c>
      <c r="D56" s="194"/>
      <c r="E56" s="194"/>
      <c r="F56" s="194"/>
      <c r="G56" s="943">
        <f>8.882*25</f>
        <v>222.04999999999998</v>
      </c>
      <c r="H56" s="943"/>
      <c r="I56" s="943"/>
      <c r="J56" s="193" t="s">
        <v>1691</v>
      </c>
      <c r="K56" s="195"/>
    </row>
    <row r="57" spans="1:11" ht="15.95" customHeight="1">
      <c r="A57" s="192" t="s">
        <v>1713</v>
      </c>
      <c r="B57" s="193" t="s">
        <v>1692</v>
      </c>
      <c r="C57" s="193" t="s">
        <v>352</v>
      </c>
      <c r="D57" s="194"/>
      <c r="E57" s="194"/>
      <c r="F57" s="194"/>
      <c r="G57" s="943">
        <f>250*8.882</f>
        <v>2220.5</v>
      </c>
      <c r="H57" s="943"/>
      <c r="I57" s="943"/>
      <c r="J57" s="193" t="s">
        <v>1691</v>
      </c>
      <c r="K57" s="195"/>
    </row>
    <row r="58" spans="1:11" ht="15.95" customHeight="1">
      <c r="A58" s="192" t="s">
        <v>1712</v>
      </c>
      <c r="B58" s="193" t="s">
        <v>1692</v>
      </c>
      <c r="C58" s="193" t="s">
        <v>352</v>
      </c>
      <c r="D58" s="194"/>
      <c r="E58" s="194"/>
      <c r="F58" s="194"/>
      <c r="G58" s="943">
        <f>500*8.882</f>
        <v>4441</v>
      </c>
      <c r="H58" s="943"/>
      <c r="I58" s="943"/>
      <c r="J58" s="193" t="s">
        <v>1691</v>
      </c>
      <c r="K58" s="195"/>
    </row>
    <row r="59" spans="1:11" ht="15.95" customHeight="1">
      <c r="A59" s="192" t="s">
        <v>1711</v>
      </c>
      <c r="B59" s="193" t="s">
        <v>1692</v>
      </c>
      <c r="C59" s="193" t="s">
        <v>352</v>
      </c>
      <c r="D59" s="194"/>
      <c r="E59" s="194"/>
      <c r="F59" s="194"/>
      <c r="G59" s="943">
        <f>150*8.882</f>
        <v>1332.3</v>
      </c>
      <c r="H59" s="943"/>
      <c r="I59" s="943"/>
      <c r="J59" s="193" t="s">
        <v>1691</v>
      </c>
      <c r="K59" s="195"/>
    </row>
    <row r="60" spans="1:11" ht="15.95" customHeight="1">
      <c r="A60" s="192" t="s">
        <v>1710</v>
      </c>
      <c r="B60" s="193" t="s">
        <v>1708</v>
      </c>
      <c r="C60" s="193" t="s">
        <v>1707</v>
      </c>
      <c r="D60" s="194"/>
      <c r="E60" s="194"/>
      <c r="F60" s="194"/>
      <c r="G60" s="943"/>
      <c r="H60" s="943">
        <f>250*8.882</f>
        <v>2220.5</v>
      </c>
      <c r="I60" s="943"/>
      <c r="J60" s="193" t="s">
        <v>1691</v>
      </c>
      <c r="K60" s="195"/>
    </row>
    <row r="61" spans="1:11" ht="15.95" customHeight="1">
      <c r="A61" s="192" t="s">
        <v>1709</v>
      </c>
      <c r="B61" s="193" t="s">
        <v>1708</v>
      </c>
      <c r="C61" s="193" t="s">
        <v>1707</v>
      </c>
      <c r="D61" s="194"/>
      <c r="E61" s="194"/>
      <c r="F61" s="194"/>
      <c r="G61" s="943"/>
      <c r="H61" s="943">
        <f>200*8.882</f>
        <v>1776.3999999999999</v>
      </c>
      <c r="I61" s="943"/>
      <c r="J61" s="193" t="s">
        <v>1691</v>
      </c>
      <c r="K61" s="195"/>
    </row>
    <row r="62" spans="1:11" ht="15.95" customHeight="1">
      <c r="A62" s="192" t="s">
        <v>1706</v>
      </c>
      <c r="B62" s="193" t="s">
        <v>1692</v>
      </c>
      <c r="C62" s="193" t="s">
        <v>1704</v>
      </c>
      <c r="D62" s="194"/>
      <c r="E62" s="194"/>
      <c r="F62" s="194"/>
      <c r="G62" s="943"/>
      <c r="H62" s="943">
        <f>30*8.882</f>
        <v>266.45999999999998</v>
      </c>
      <c r="I62" s="943"/>
      <c r="J62" s="193" t="s">
        <v>1691</v>
      </c>
      <c r="K62" s="195"/>
    </row>
    <row r="63" spans="1:11" ht="15.95" customHeight="1">
      <c r="A63" s="192" t="s">
        <v>1705</v>
      </c>
      <c r="B63" s="193" t="s">
        <v>1692</v>
      </c>
      <c r="C63" s="193" t="s">
        <v>1704</v>
      </c>
      <c r="D63" s="194"/>
      <c r="E63" s="194"/>
      <c r="F63" s="194"/>
      <c r="G63" s="943"/>
      <c r="H63" s="943">
        <f>5*8.882</f>
        <v>44.41</v>
      </c>
      <c r="I63" s="943"/>
      <c r="J63" s="193" t="s">
        <v>1691</v>
      </c>
      <c r="K63" s="195"/>
    </row>
    <row r="64" spans="1:11" ht="15.95" customHeight="1">
      <c r="A64" s="192" t="s">
        <v>1703</v>
      </c>
      <c r="B64" s="193" t="s">
        <v>1692</v>
      </c>
      <c r="C64" s="193" t="s">
        <v>352</v>
      </c>
      <c r="D64" s="194"/>
      <c r="E64" s="194"/>
      <c r="F64" s="194"/>
      <c r="G64" s="943">
        <f>8.882*100</f>
        <v>888.19999999999993</v>
      </c>
      <c r="H64" s="943"/>
      <c r="I64" s="943"/>
      <c r="J64" s="193" t="s">
        <v>1691</v>
      </c>
      <c r="K64" s="195"/>
    </row>
    <row r="65" spans="1:11" ht="15.95" customHeight="1">
      <c r="A65" s="192" t="s">
        <v>1702</v>
      </c>
      <c r="B65" s="193" t="s">
        <v>1692</v>
      </c>
      <c r="C65" s="193" t="s">
        <v>1700</v>
      </c>
      <c r="D65" s="194"/>
      <c r="E65" s="194"/>
      <c r="F65" s="194"/>
      <c r="G65" s="943">
        <f>30*8.882</f>
        <v>266.45999999999998</v>
      </c>
      <c r="H65" s="943"/>
      <c r="I65" s="943"/>
      <c r="J65" s="193" t="s">
        <v>1691</v>
      </c>
      <c r="K65" s="195"/>
    </row>
    <row r="66" spans="1:11" ht="15.95" customHeight="1">
      <c r="A66" s="192" t="s">
        <v>1701</v>
      </c>
      <c r="B66" s="193" t="s">
        <v>1692</v>
      </c>
      <c r="C66" s="193" t="s">
        <v>1700</v>
      </c>
      <c r="D66" s="194"/>
      <c r="E66" s="194"/>
      <c r="F66" s="194"/>
      <c r="G66" s="943">
        <f>40*8.882</f>
        <v>355.28</v>
      </c>
      <c r="H66" s="943"/>
      <c r="I66" s="943"/>
      <c r="J66" s="193" t="s">
        <v>1691</v>
      </c>
      <c r="K66" s="195"/>
    </row>
    <row r="67" spans="1:11" ht="15.95" customHeight="1">
      <c r="A67" s="192" t="s">
        <v>1699</v>
      </c>
      <c r="B67" s="193" t="s">
        <v>1692</v>
      </c>
      <c r="C67" s="193" t="s">
        <v>352</v>
      </c>
      <c r="D67" s="194"/>
      <c r="E67" s="194"/>
      <c r="F67" s="194"/>
      <c r="G67" s="943">
        <f>30*8.882</f>
        <v>266.45999999999998</v>
      </c>
      <c r="H67" s="943"/>
      <c r="I67" s="943"/>
      <c r="J67" s="193" t="s">
        <v>1691</v>
      </c>
      <c r="K67" s="195"/>
    </row>
    <row r="68" spans="1:11" ht="15.95" customHeight="1">
      <c r="A68" s="192" t="s">
        <v>1698</v>
      </c>
      <c r="B68" s="193" t="s">
        <v>1692</v>
      </c>
      <c r="C68" s="193" t="s">
        <v>352</v>
      </c>
      <c r="D68" s="194"/>
      <c r="E68" s="194"/>
      <c r="F68" s="194"/>
      <c r="G68" s="943">
        <f>60*8.882</f>
        <v>532.91999999999996</v>
      </c>
      <c r="H68" s="943"/>
      <c r="I68" s="943"/>
      <c r="J68" s="193" t="s">
        <v>1691</v>
      </c>
      <c r="K68" s="195"/>
    </row>
    <row r="69" spans="1:11" ht="15.95" customHeight="1">
      <c r="A69" s="192" t="s">
        <v>1697</v>
      </c>
      <c r="B69" s="193" t="s">
        <v>1692</v>
      </c>
      <c r="C69" s="193" t="s">
        <v>354</v>
      </c>
      <c r="D69" s="194"/>
      <c r="E69" s="194"/>
      <c r="F69" s="194"/>
      <c r="G69" s="943"/>
      <c r="H69" s="943">
        <f>100*8.882</f>
        <v>888.19999999999993</v>
      </c>
      <c r="I69" s="943">
        <f>120*8.882</f>
        <v>1065.8399999999999</v>
      </c>
      <c r="J69" s="193" t="s">
        <v>1691</v>
      </c>
      <c r="K69" s="195"/>
    </row>
    <row r="70" spans="1:11" ht="15.95" customHeight="1">
      <c r="A70" s="192" t="s">
        <v>1696</v>
      </c>
      <c r="B70" s="193" t="s">
        <v>1692</v>
      </c>
      <c r="C70" s="193" t="s">
        <v>383</v>
      </c>
      <c r="D70" s="194"/>
      <c r="E70" s="194"/>
      <c r="F70" s="194"/>
      <c r="G70" s="943">
        <f>50*8.882</f>
        <v>444.09999999999997</v>
      </c>
      <c r="H70" s="943"/>
      <c r="I70" s="943"/>
      <c r="J70" s="193" t="s">
        <v>1691</v>
      </c>
      <c r="K70" s="195"/>
    </row>
    <row r="71" spans="1:11" ht="15.95" customHeight="1">
      <c r="A71" s="192" t="s">
        <v>1695</v>
      </c>
      <c r="B71" s="193" t="s">
        <v>1692</v>
      </c>
      <c r="C71" s="193" t="s">
        <v>383</v>
      </c>
      <c r="D71" s="194"/>
      <c r="E71" s="194"/>
      <c r="F71" s="194"/>
      <c r="G71" s="943">
        <f>30*8.882</f>
        <v>266.45999999999998</v>
      </c>
      <c r="H71" s="943"/>
      <c r="I71" s="943"/>
      <c r="J71" s="193" t="s">
        <v>1691</v>
      </c>
      <c r="K71" s="195"/>
    </row>
    <row r="72" spans="1:11" ht="15.95" customHeight="1">
      <c r="A72" s="192"/>
      <c r="B72" s="193"/>
      <c r="C72" s="193"/>
      <c r="D72" s="194"/>
      <c r="E72" s="194"/>
      <c r="F72" s="194"/>
      <c r="G72" s="943"/>
      <c r="H72" s="943"/>
      <c r="I72" s="943"/>
      <c r="J72" s="193"/>
      <c r="K72" s="195"/>
    </row>
    <row r="73" spans="1:11" ht="15.95" customHeight="1">
      <c r="A73" s="192"/>
      <c r="B73" s="193"/>
      <c r="C73" s="193"/>
      <c r="D73" s="194"/>
      <c r="E73" s="194"/>
      <c r="F73" s="194"/>
      <c r="G73" s="943"/>
      <c r="H73" s="943"/>
      <c r="I73" s="943"/>
      <c r="J73" s="193"/>
      <c r="K73" s="195"/>
    </row>
    <row r="74" spans="1:11" ht="15.95" customHeight="1">
      <c r="A74" s="192"/>
      <c r="B74" s="193"/>
      <c r="C74" s="193"/>
      <c r="D74" s="194"/>
      <c r="E74" s="194"/>
      <c r="F74" s="194"/>
      <c r="G74" s="943"/>
      <c r="H74" s="943"/>
      <c r="I74" s="943"/>
      <c r="J74" s="193"/>
      <c r="K74" s="195"/>
    </row>
    <row r="75" spans="1:11" ht="15.95" customHeight="1">
      <c r="A75" s="192"/>
      <c r="B75" s="193"/>
      <c r="C75" s="193"/>
      <c r="D75" s="194"/>
      <c r="E75" s="194"/>
      <c r="F75" s="194"/>
      <c r="G75" s="943"/>
      <c r="H75" s="943"/>
      <c r="I75" s="943"/>
      <c r="J75" s="193"/>
      <c r="K75" s="195"/>
    </row>
    <row r="76" spans="1:11" ht="15.95" customHeight="1">
      <c r="A76" s="188" t="s">
        <v>152</v>
      </c>
      <c r="B76" s="189"/>
      <c r="C76" s="189"/>
      <c r="D76" s="196"/>
      <c r="E76" s="196"/>
      <c r="F76" s="196"/>
      <c r="G76" s="944"/>
      <c r="H76" s="944"/>
      <c r="I76" s="944"/>
      <c r="J76" s="189"/>
      <c r="K76" s="190">
        <f>SUM(K77:K79)</f>
        <v>0</v>
      </c>
    </row>
    <row r="77" spans="1:11" ht="15.95" customHeight="1">
      <c r="A77" s="256" t="s">
        <v>1694</v>
      </c>
      <c r="B77" s="193" t="s">
        <v>1692</v>
      </c>
      <c r="C77" s="193" t="s">
        <v>383</v>
      </c>
      <c r="D77" s="194"/>
      <c r="E77" s="194"/>
      <c r="F77" s="194"/>
      <c r="G77" s="943">
        <f>35*8.882</f>
        <v>310.87</v>
      </c>
      <c r="H77" s="943"/>
      <c r="I77" s="943"/>
      <c r="J77" s="193" t="s">
        <v>1691</v>
      </c>
      <c r="K77" s="195"/>
    </row>
    <row r="78" spans="1:11" ht="15.95" customHeight="1">
      <c r="A78" s="256" t="s">
        <v>1694</v>
      </c>
      <c r="B78" s="193" t="s">
        <v>1692</v>
      </c>
      <c r="C78" s="193" t="s">
        <v>1693</v>
      </c>
      <c r="D78" s="194"/>
      <c r="E78" s="194"/>
      <c r="F78" s="194"/>
      <c r="G78" s="943">
        <f>350*8.882</f>
        <v>3108.7</v>
      </c>
      <c r="H78" s="943"/>
      <c r="I78" s="943"/>
      <c r="J78" s="193" t="s">
        <v>1691</v>
      </c>
      <c r="K78" s="195"/>
    </row>
    <row r="79" spans="1:11" ht="15.95" customHeight="1">
      <c r="A79" s="256"/>
      <c r="B79" s="193"/>
      <c r="C79" s="193"/>
      <c r="D79" s="194"/>
      <c r="E79" s="194"/>
      <c r="F79" s="194"/>
      <c r="G79" s="943"/>
      <c r="H79" s="943"/>
      <c r="I79" s="943"/>
      <c r="J79" s="193"/>
      <c r="K79" s="195"/>
    </row>
    <row r="80" spans="1:11" ht="15.95" customHeight="1">
      <c r="A80" s="188" t="s">
        <v>151</v>
      </c>
      <c r="B80" s="189"/>
      <c r="C80" s="189"/>
      <c r="D80" s="196"/>
      <c r="E80" s="196"/>
      <c r="F80" s="196"/>
      <c r="G80" s="944"/>
      <c r="H80" s="944"/>
      <c r="I80" s="944"/>
      <c r="J80" s="189"/>
      <c r="K80" s="190">
        <f>SUM(K81:K84)</f>
        <v>218199.88</v>
      </c>
    </row>
    <row r="81" spans="1:11" ht="15.95" customHeight="1">
      <c r="A81" s="256" t="s">
        <v>155</v>
      </c>
      <c r="B81" s="193" t="s">
        <v>1692</v>
      </c>
      <c r="C81" s="193" t="s">
        <v>383</v>
      </c>
      <c r="D81" s="194"/>
      <c r="E81" s="194"/>
      <c r="F81" s="194"/>
      <c r="G81" s="943">
        <f>100*8.882</f>
        <v>888.19999999999993</v>
      </c>
      <c r="H81" s="943"/>
      <c r="I81" s="943"/>
      <c r="J81" s="193" t="s">
        <v>1691</v>
      </c>
      <c r="K81" s="195">
        <v>0</v>
      </c>
    </row>
    <row r="82" spans="1:11" ht="15.95" customHeight="1">
      <c r="A82" s="936" t="s">
        <v>1368</v>
      </c>
      <c r="B82" s="193"/>
      <c r="C82" s="193"/>
      <c r="D82" s="194"/>
      <c r="E82" s="194"/>
      <c r="F82" s="194"/>
      <c r="G82" s="943"/>
      <c r="H82" s="943"/>
      <c r="I82" s="943"/>
      <c r="J82" s="193" t="s">
        <v>1689</v>
      </c>
      <c r="K82" s="195">
        <v>0</v>
      </c>
    </row>
    <row r="83" spans="1:11" ht="15.95" customHeight="1">
      <c r="A83" s="936" t="s">
        <v>1690</v>
      </c>
      <c r="B83" s="193"/>
      <c r="C83" s="193"/>
      <c r="D83" s="194"/>
      <c r="E83" s="194"/>
      <c r="F83" s="194"/>
      <c r="G83" s="943"/>
      <c r="H83" s="943"/>
      <c r="I83" s="943"/>
      <c r="J83" s="193" t="s">
        <v>1689</v>
      </c>
      <c r="K83" s="195">
        <v>218199.88</v>
      </c>
    </row>
    <row r="84" spans="1:11" ht="15.95" customHeight="1">
      <c r="A84" s="256"/>
      <c r="B84" s="193"/>
      <c r="C84" s="193"/>
      <c r="D84" s="194"/>
      <c r="E84" s="194"/>
      <c r="F84" s="194"/>
      <c r="G84" s="943"/>
      <c r="H84" s="943"/>
      <c r="I84" s="943"/>
      <c r="J84" s="193"/>
      <c r="K84" s="195"/>
    </row>
    <row r="85" spans="1:11" s="177" customFormat="1" ht="15.95" customHeight="1">
      <c r="A85" s="209" t="s">
        <v>137</v>
      </c>
      <c r="B85" s="210"/>
      <c r="C85" s="210"/>
      <c r="D85" s="211"/>
      <c r="E85" s="211"/>
      <c r="F85" s="211"/>
      <c r="G85" s="946"/>
      <c r="H85" s="946"/>
      <c r="I85" s="946"/>
      <c r="J85" s="210"/>
      <c r="K85" s="213">
        <f>SUM(K86)</f>
        <v>0</v>
      </c>
    </row>
    <row r="86" spans="1:11" s="177" customFormat="1" ht="15.95" customHeight="1">
      <c r="A86" s="274"/>
      <c r="B86" s="217"/>
      <c r="C86" s="217"/>
      <c r="D86" s="216"/>
      <c r="E86" s="216"/>
      <c r="F86" s="216"/>
      <c r="G86" s="945"/>
      <c r="H86" s="945"/>
      <c r="I86" s="945"/>
      <c r="J86" s="217"/>
      <c r="K86" s="219"/>
    </row>
    <row r="87" spans="1:11" ht="15.95" customHeight="1">
      <c r="A87" s="188" t="s">
        <v>136</v>
      </c>
      <c r="B87" s="189"/>
      <c r="C87" s="189"/>
      <c r="D87" s="196"/>
      <c r="E87" s="196"/>
      <c r="F87" s="196"/>
      <c r="G87" s="944"/>
      <c r="H87" s="944"/>
      <c r="I87" s="944"/>
      <c r="J87" s="189"/>
      <c r="K87" s="190">
        <f>SUM(K88)</f>
        <v>7010235.2800000003</v>
      </c>
    </row>
    <row r="88" spans="1:11" ht="15.95" customHeight="1">
      <c r="A88" s="936" t="s">
        <v>1688</v>
      </c>
      <c r="B88" s="193"/>
      <c r="C88" s="193"/>
      <c r="D88" s="194"/>
      <c r="E88" s="194"/>
      <c r="F88" s="194"/>
      <c r="G88" s="943"/>
      <c r="H88" s="943"/>
      <c r="I88" s="943"/>
      <c r="J88" s="193"/>
      <c r="K88" s="195">
        <f>492090.3+900344.95+184777+28276+1174422.34+4230324.69</f>
        <v>7010235.2800000003</v>
      </c>
    </row>
    <row r="89" spans="1:11" ht="15.95" customHeight="1">
      <c r="A89" s="241" t="s">
        <v>108</v>
      </c>
      <c r="B89" s="242"/>
      <c r="C89" s="242"/>
      <c r="D89" s="243"/>
      <c r="E89" s="243"/>
      <c r="F89" s="243"/>
      <c r="G89" s="942"/>
      <c r="H89" s="942"/>
      <c r="I89" s="942"/>
      <c r="J89" s="242"/>
      <c r="K89" s="276">
        <f>+K10+K12+K26+K51+K76+K80+K85+K87</f>
        <v>21730477.330000002</v>
      </c>
    </row>
    <row r="90" spans="1:11">
      <c r="A90" s="245"/>
      <c r="B90" s="246"/>
      <c r="C90" s="246"/>
      <c r="D90" s="246"/>
      <c r="E90" s="246"/>
      <c r="F90" s="246"/>
      <c r="G90" s="246"/>
      <c r="H90" s="246"/>
      <c r="I90" s="246"/>
      <c r="J90" s="246"/>
      <c r="K90" s="246"/>
    </row>
    <row r="91" spans="1:11">
      <c r="K91" s="941"/>
    </row>
  </sheetData>
  <mergeCells count="10">
    <mergeCell ref="J8:J9"/>
    <mergeCell ref="K8:K9"/>
    <mergeCell ref="D8:D9"/>
    <mergeCell ref="H7:I7"/>
    <mergeCell ref="A8:A9"/>
    <mergeCell ref="B8:B9"/>
    <mergeCell ref="C8:C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L68"/>
  <sheetViews>
    <sheetView showGridLines="0" zoomScaleNormal="100" workbookViewId="0"/>
  </sheetViews>
  <sheetFormatPr baseColWidth="10" defaultRowHeight="15"/>
  <cols>
    <col min="1" max="1" width="46.7109375" customWidth="1"/>
    <col min="2" max="2" width="45.42578125" customWidth="1"/>
    <col min="3" max="3" width="29.7109375" customWidth="1"/>
    <col min="4" max="4" width="24.5703125" customWidth="1"/>
    <col min="5" max="5" width="11.85546875" customWidth="1"/>
    <col min="6" max="6" width="11.7109375" customWidth="1"/>
    <col min="7" max="7" width="8.42578125" customWidth="1"/>
    <col min="8" max="8" width="10.5703125" customWidth="1"/>
    <col min="9" max="9" width="12.140625" customWidth="1"/>
    <col min="10" max="10" width="27" customWidth="1"/>
    <col min="11" max="11" width="15.42578125" customWidth="1"/>
    <col min="12" max="12" width="16.85546875" bestFit="1" customWidth="1"/>
    <col min="257" max="257" width="46.7109375" customWidth="1"/>
    <col min="258" max="258" width="45.42578125" customWidth="1"/>
    <col min="259" max="259" width="29.7109375" customWidth="1"/>
    <col min="260" max="260" width="24.5703125" customWidth="1"/>
    <col min="261" max="261" width="11.85546875" customWidth="1"/>
    <col min="262" max="262" width="11.7109375" customWidth="1"/>
    <col min="263" max="263" width="8.42578125" customWidth="1"/>
    <col min="264" max="264" width="10.5703125" customWidth="1"/>
    <col min="265" max="265" width="12.140625" customWidth="1"/>
    <col min="266" max="266" width="27" customWidth="1"/>
    <col min="267" max="267" width="15.42578125" customWidth="1"/>
    <col min="268" max="268" width="16.85546875" bestFit="1" customWidth="1"/>
    <col min="513" max="513" width="46.7109375" customWidth="1"/>
    <col min="514" max="514" width="45.42578125" customWidth="1"/>
    <col min="515" max="515" width="29.7109375" customWidth="1"/>
    <col min="516" max="516" width="24.5703125" customWidth="1"/>
    <col min="517" max="517" width="11.85546875" customWidth="1"/>
    <col min="518" max="518" width="11.7109375" customWidth="1"/>
    <col min="519" max="519" width="8.42578125" customWidth="1"/>
    <col min="520" max="520" width="10.5703125" customWidth="1"/>
    <col min="521" max="521" width="12.140625" customWidth="1"/>
    <col min="522" max="522" width="27" customWidth="1"/>
    <col min="523" max="523" width="15.42578125" customWidth="1"/>
    <col min="524" max="524" width="16.85546875" bestFit="1" customWidth="1"/>
    <col min="769" max="769" width="46.7109375" customWidth="1"/>
    <col min="770" max="770" width="45.42578125" customWidth="1"/>
    <col min="771" max="771" width="29.7109375" customWidth="1"/>
    <col min="772" max="772" width="24.5703125" customWidth="1"/>
    <col min="773" max="773" width="11.85546875" customWidth="1"/>
    <col min="774" max="774" width="11.7109375" customWidth="1"/>
    <col min="775" max="775" width="8.42578125" customWidth="1"/>
    <col min="776" max="776" width="10.5703125" customWidth="1"/>
    <col min="777" max="777" width="12.140625" customWidth="1"/>
    <col min="778" max="778" width="27" customWidth="1"/>
    <col min="779" max="779" width="15.42578125" customWidth="1"/>
    <col min="780" max="780" width="16.85546875" bestFit="1" customWidth="1"/>
    <col min="1025" max="1025" width="46.7109375" customWidth="1"/>
    <col min="1026" max="1026" width="45.42578125" customWidth="1"/>
    <col min="1027" max="1027" width="29.7109375" customWidth="1"/>
    <col min="1028" max="1028" width="24.5703125" customWidth="1"/>
    <col min="1029" max="1029" width="11.85546875" customWidth="1"/>
    <col min="1030" max="1030" width="11.7109375" customWidth="1"/>
    <col min="1031" max="1031" width="8.42578125" customWidth="1"/>
    <col min="1032" max="1032" width="10.5703125" customWidth="1"/>
    <col min="1033" max="1033" width="12.140625" customWidth="1"/>
    <col min="1034" max="1034" width="27" customWidth="1"/>
    <col min="1035" max="1035" width="15.42578125" customWidth="1"/>
    <col min="1036" max="1036" width="16.85546875" bestFit="1" customWidth="1"/>
    <col min="1281" max="1281" width="46.7109375" customWidth="1"/>
    <col min="1282" max="1282" width="45.42578125" customWidth="1"/>
    <col min="1283" max="1283" width="29.7109375" customWidth="1"/>
    <col min="1284" max="1284" width="24.5703125" customWidth="1"/>
    <col min="1285" max="1285" width="11.85546875" customWidth="1"/>
    <col min="1286" max="1286" width="11.7109375" customWidth="1"/>
    <col min="1287" max="1287" width="8.42578125" customWidth="1"/>
    <col min="1288" max="1288" width="10.5703125" customWidth="1"/>
    <col min="1289" max="1289" width="12.140625" customWidth="1"/>
    <col min="1290" max="1290" width="27" customWidth="1"/>
    <col min="1291" max="1291" width="15.42578125" customWidth="1"/>
    <col min="1292" max="1292" width="16.85546875" bestFit="1" customWidth="1"/>
    <col min="1537" max="1537" width="46.7109375" customWidth="1"/>
    <col min="1538" max="1538" width="45.42578125" customWidth="1"/>
    <col min="1539" max="1539" width="29.7109375" customWidth="1"/>
    <col min="1540" max="1540" width="24.5703125" customWidth="1"/>
    <col min="1541" max="1541" width="11.85546875" customWidth="1"/>
    <col min="1542" max="1542" width="11.7109375" customWidth="1"/>
    <col min="1543" max="1543" width="8.42578125" customWidth="1"/>
    <col min="1544" max="1544" width="10.5703125" customWidth="1"/>
    <col min="1545" max="1545" width="12.140625" customWidth="1"/>
    <col min="1546" max="1546" width="27" customWidth="1"/>
    <col min="1547" max="1547" width="15.42578125" customWidth="1"/>
    <col min="1548" max="1548" width="16.85546875" bestFit="1" customWidth="1"/>
    <col min="1793" max="1793" width="46.7109375" customWidth="1"/>
    <col min="1794" max="1794" width="45.42578125" customWidth="1"/>
    <col min="1795" max="1795" width="29.7109375" customWidth="1"/>
    <col min="1796" max="1796" width="24.5703125" customWidth="1"/>
    <col min="1797" max="1797" width="11.85546875" customWidth="1"/>
    <col min="1798" max="1798" width="11.7109375" customWidth="1"/>
    <col min="1799" max="1799" width="8.42578125" customWidth="1"/>
    <col min="1800" max="1800" width="10.5703125" customWidth="1"/>
    <col min="1801" max="1801" width="12.140625" customWidth="1"/>
    <col min="1802" max="1802" width="27" customWidth="1"/>
    <col min="1803" max="1803" width="15.42578125" customWidth="1"/>
    <col min="1804" max="1804" width="16.85546875" bestFit="1" customWidth="1"/>
    <col min="2049" max="2049" width="46.7109375" customWidth="1"/>
    <col min="2050" max="2050" width="45.42578125" customWidth="1"/>
    <col min="2051" max="2051" width="29.7109375" customWidth="1"/>
    <col min="2052" max="2052" width="24.5703125" customWidth="1"/>
    <col min="2053" max="2053" width="11.85546875" customWidth="1"/>
    <col min="2054" max="2054" width="11.7109375" customWidth="1"/>
    <col min="2055" max="2055" width="8.42578125" customWidth="1"/>
    <col min="2056" max="2056" width="10.5703125" customWidth="1"/>
    <col min="2057" max="2057" width="12.140625" customWidth="1"/>
    <col min="2058" max="2058" width="27" customWidth="1"/>
    <col min="2059" max="2059" width="15.42578125" customWidth="1"/>
    <col min="2060" max="2060" width="16.85546875" bestFit="1" customWidth="1"/>
    <col min="2305" max="2305" width="46.7109375" customWidth="1"/>
    <col min="2306" max="2306" width="45.42578125" customWidth="1"/>
    <col min="2307" max="2307" width="29.7109375" customWidth="1"/>
    <col min="2308" max="2308" width="24.5703125" customWidth="1"/>
    <col min="2309" max="2309" width="11.85546875" customWidth="1"/>
    <col min="2310" max="2310" width="11.7109375" customWidth="1"/>
    <col min="2311" max="2311" width="8.42578125" customWidth="1"/>
    <col min="2312" max="2312" width="10.5703125" customWidth="1"/>
    <col min="2313" max="2313" width="12.140625" customWidth="1"/>
    <col min="2314" max="2314" width="27" customWidth="1"/>
    <col min="2315" max="2315" width="15.42578125" customWidth="1"/>
    <col min="2316" max="2316" width="16.85546875" bestFit="1" customWidth="1"/>
    <col min="2561" max="2561" width="46.7109375" customWidth="1"/>
    <col min="2562" max="2562" width="45.42578125" customWidth="1"/>
    <col min="2563" max="2563" width="29.7109375" customWidth="1"/>
    <col min="2564" max="2564" width="24.5703125" customWidth="1"/>
    <col min="2565" max="2565" width="11.85546875" customWidth="1"/>
    <col min="2566" max="2566" width="11.7109375" customWidth="1"/>
    <col min="2567" max="2567" width="8.42578125" customWidth="1"/>
    <col min="2568" max="2568" width="10.5703125" customWidth="1"/>
    <col min="2569" max="2569" width="12.140625" customWidth="1"/>
    <col min="2570" max="2570" width="27" customWidth="1"/>
    <col min="2571" max="2571" width="15.42578125" customWidth="1"/>
    <col min="2572" max="2572" width="16.85546875" bestFit="1" customWidth="1"/>
    <col min="2817" max="2817" width="46.7109375" customWidth="1"/>
    <col min="2818" max="2818" width="45.42578125" customWidth="1"/>
    <col min="2819" max="2819" width="29.7109375" customWidth="1"/>
    <col min="2820" max="2820" width="24.5703125" customWidth="1"/>
    <col min="2821" max="2821" width="11.85546875" customWidth="1"/>
    <col min="2822" max="2822" width="11.7109375" customWidth="1"/>
    <col min="2823" max="2823" width="8.42578125" customWidth="1"/>
    <col min="2824" max="2824" width="10.5703125" customWidth="1"/>
    <col min="2825" max="2825" width="12.140625" customWidth="1"/>
    <col min="2826" max="2826" width="27" customWidth="1"/>
    <col min="2827" max="2827" width="15.42578125" customWidth="1"/>
    <col min="2828" max="2828" width="16.85546875" bestFit="1" customWidth="1"/>
    <col min="3073" max="3073" width="46.7109375" customWidth="1"/>
    <col min="3074" max="3074" width="45.42578125" customWidth="1"/>
    <col min="3075" max="3075" width="29.7109375" customWidth="1"/>
    <col min="3076" max="3076" width="24.5703125" customWidth="1"/>
    <col min="3077" max="3077" width="11.85546875" customWidth="1"/>
    <col min="3078" max="3078" width="11.7109375" customWidth="1"/>
    <col min="3079" max="3079" width="8.42578125" customWidth="1"/>
    <col min="3080" max="3080" width="10.5703125" customWidth="1"/>
    <col min="3081" max="3081" width="12.140625" customWidth="1"/>
    <col min="3082" max="3082" width="27" customWidth="1"/>
    <col min="3083" max="3083" width="15.42578125" customWidth="1"/>
    <col min="3084" max="3084" width="16.85546875" bestFit="1" customWidth="1"/>
    <col min="3329" max="3329" width="46.7109375" customWidth="1"/>
    <col min="3330" max="3330" width="45.42578125" customWidth="1"/>
    <col min="3331" max="3331" width="29.7109375" customWidth="1"/>
    <col min="3332" max="3332" width="24.5703125" customWidth="1"/>
    <col min="3333" max="3333" width="11.85546875" customWidth="1"/>
    <col min="3334" max="3334" width="11.7109375" customWidth="1"/>
    <col min="3335" max="3335" width="8.42578125" customWidth="1"/>
    <col min="3336" max="3336" width="10.5703125" customWidth="1"/>
    <col min="3337" max="3337" width="12.140625" customWidth="1"/>
    <col min="3338" max="3338" width="27" customWidth="1"/>
    <col min="3339" max="3339" width="15.42578125" customWidth="1"/>
    <col min="3340" max="3340" width="16.85546875" bestFit="1" customWidth="1"/>
    <col min="3585" max="3585" width="46.7109375" customWidth="1"/>
    <col min="3586" max="3586" width="45.42578125" customWidth="1"/>
    <col min="3587" max="3587" width="29.7109375" customWidth="1"/>
    <col min="3588" max="3588" width="24.5703125" customWidth="1"/>
    <col min="3589" max="3589" width="11.85546875" customWidth="1"/>
    <col min="3590" max="3590" width="11.7109375" customWidth="1"/>
    <col min="3591" max="3591" width="8.42578125" customWidth="1"/>
    <col min="3592" max="3592" width="10.5703125" customWidth="1"/>
    <col min="3593" max="3593" width="12.140625" customWidth="1"/>
    <col min="3594" max="3594" width="27" customWidth="1"/>
    <col min="3595" max="3595" width="15.42578125" customWidth="1"/>
    <col min="3596" max="3596" width="16.85546875" bestFit="1" customWidth="1"/>
    <col min="3841" max="3841" width="46.7109375" customWidth="1"/>
    <col min="3842" max="3842" width="45.42578125" customWidth="1"/>
    <col min="3843" max="3843" width="29.7109375" customWidth="1"/>
    <col min="3844" max="3844" width="24.5703125" customWidth="1"/>
    <col min="3845" max="3845" width="11.85546875" customWidth="1"/>
    <col min="3846" max="3846" width="11.7109375" customWidth="1"/>
    <col min="3847" max="3847" width="8.42578125" customWidth="1"/>
    <col min="3848" max="3848" width="10.5703125" customWidth="1"/>
    <col min="3849" max="3849" width="12.140625" customWidth="1"/>
    <col min="3850" max="3850" width="27" customWidth="1"/>
    <col min="3851" max="3851" width="15.42578125" customWidth="1"/>
    <col min="3852" max="3852" width="16.85546875" bestFit="1" customWidth="1"/>
    <col min="4097" max="4097" width="46.7109375" customWidth="1"/>
    <col min="4098" max="4098" width="45.42578125" customWidth="1"/>
    <col min="4099" max="4099" width="29.7109375" customWidth="1"/>
    <col min="4100" max="4100" width="24.5703125" customWidth="1"/>
    <col min="4101" max="4101" width="11.85546875" customWidth="1"/>
    <col min="4102" max="4102" width="11.7109375" customWidth="1"/>
    <col min="4103" max="4103" width="8.42578125" customWidth="1"/>
    <col min="4104" max="4104" width="10.5703125" customWidth="1"/>
    <col min="4105" max="4105" width="12.140625" customWidth="1"/>
    <col min="4106" max="4106" width="27" customWidth="1"/>
    <col min="4107" max="4107" width="15.42578125" customWidth="1"/>
    <col min="4108" max="4108" width="16.85546875" bestFit="1" customWidth="1"/>
    <col min="4353" max="4353" width="46.7109375" customWidth="1"/>
    <col min="4354" max="4354" width="45.42578125" customWidth="1"/>
    <col min="4355" max="4355" width="29.7109375" customWidth="1"/>
    <col min="4356" max="4356" width="24.5703125" customWidth="1"/>
    <col min="4357" max="4357" width="11.85546875" customWidth="1"/>
    <col min="4358" max="4358" width="11.7109375" customWidth="1"/>
    <col min="4359" max="4359" width="8.42578125" customWidth="1"/>
    <col min="4360" max="4360" width="10.5703125" customWidth="1"/>
    <col min="4361" max="4361" width="12.140625" customWidth="1"/>
    <col min="4362" max="4362" width="27" customWidth="1"/>
    <col min="4363" max="4363" width="15.42578125" customWidth="1"/>
    <col min="4364" max="4364" width="16.85546875" bestFit="1" customWidth="1"/>
    <col min="4609" max="4609" width="46.7109375" customWidth="1"/>
    <col min="4610" max="4610" width="45.42578125" customWidth="1"/>
    <col min="4611" max="4611" width="29.7109375" customWidth="1"/>
    <col min="4612" max="4612" width="24.5703125" customWidth="1"/>
    <col min="4613" max="4613" width="11.85546875" customWidth="1"/>
    <col min="4614" max="4614" width="11.7109375" customWidth="1"/>
    <col min="4615" max="4615" width="8.42578125" customWidth="1"/>
    <col min="4616" max="4616" width="10.5703125" customWidth="1"/>
    <col min="4617" max="4617" width="12.140625" customWidth="1"/>
    <col min="4618" max="4618" width="27" customWidth="1"/>
    <col min="4619" max="4619" width="15.42578125" customWidth="1"/>
    <col min="4620" max="4620" width="16.85546875" bestFit="1" customWidth="1"/>
    <col min="4865" max="4865" width="46.7109375" customWidth="1"/>
    <col min="4866" max="4866" width="45.42578125" customWidth="1"/>
    <col min="4867" max="4867" width="29.7109375" customWidth="1"/>
    <col min="4868" max="4868" width="24.5703125" customWidth="1"/>
    <col min="4869" max="4869" width="11.85546875" customWidth="1"/>
    <col min="4870" max="4870" width="11.7109375" customWidth="1"/>
    <col min="4871" max="4871" width="8.42578125" customWidth="1"/>
    <col min="4872" max="4872" width="10.5703125" customWidth="1"/>
    <col min="4873" max="4873" width="12.140625" customWidth="1"/>
    <col min="4874" max="4874" width="27" customWidth="1"/>
    <col min="4875" max="4875" width="15.42578125" customWidth="1"/>
    <col min="4876" max="4876" width="16.85546875" bestFit="1" customWidth="1"/>
    <col min="5121" max="5121" width="46.7109375" customWidth="1"/>
    <col min="5122" max="5122" width="45.42578125" customWidth="1"/>
    <col min="5123" max="5123" width="29.7109375" customWidth="1"/>
    <col min="5124" max="5124" width="24.5703125" customWidth="1"/>
    <col min="5125" max="5125" width="11.85546875" customWidth="1"/>
    <col min="5126" max="5126" width="11.7109375" customWidth="1"/>
    <col min="5127" max="5127" width="8.42578125" customWidth="1"/>
    <col min="5128" max="5128" width="10.5703125" customWidth="1"/>
    <col min="5129" max="5129" width="12.140625" customWidth="1"/>
    <col min="5130" max="5130" width="27" customWidth="1"/>
    <col min="5131" max="5131" width="15.42578125" customWidth="1"/>
    <col min="5132" max="5132" width="16.85546875" bestFit="1" customWidth="1"/>
    <col min="5377" max="5377" width="46.7109375" customWidth="1"/>
    <col min="5378" max="5378" width="45.42578125" customWidth="1"/>
    <col min="5379" max="5379" width="29.7109375" customWidth="1"/>
    <col min="5380" max="5380" width="24.5703125" customWidth="1"/>
    <col min="5381" max="5381" width="11.85546875" customWidth="1"/>
    <col min="5382" max="5382" width="11.7109375" customWidth="1"/>
    <col min="5383" max="5383" width="8.42578125" customWidth="1"/>
    <col min="5384" max="5384" width="10.5703125" customWidth="1"/>
    <col min="5385" max="5385" width="12.140625" customWidth="1"/>
    <col min="5386" max="5386" width="27" customWidth="1"/>
    <col min="5387" max="5387" width="15.42578125" customWidth="1"/>
    <col min="5388" max="5388" width="16.85546875" bestFit="1" customWidth="1"/>
    <col min="5633" max="5633" width="46.7109375" customWidth="1"/>
    <col min="5634" max="5634" width="45.42578125" customWidth="1"/>
    <col min="5635" max="5635" width="29.7109375" customWidth="1"/>
    <col min="5636" max="5636" width="24.5703125" customWidth="1"/>
    <col min="5637" max="5637" width="11.85546875" customWidth="1"/>
    <col min="5638" max="5638" width="11.7109375" customWidth="1"/>
    <col min="5639" max="5639" width="8.42578125" customWidth="1"/>
    <col min="5640" max="5640" width="10.5703125" customWidth="1"/>
    <col min="5641" max="5641" width="12.140625" customWidth="1"/>
    <col min="5642" max="5642" width="27" customWidth="1"/>
    <col min="5643" max="5643" width="15.42578125" customWidth="1"/>
    <col min="5644" max="5644" width="16.85546875" bestFit="1" customWidth="1"/>
    <col min="5889" max="5889" width="46.7109375" customWidth="1"/>
    <col min="5890" max="5890" width="45.42578125" customWidth="1"/>
    <col min="5891" max="5891" width="29.7109375" customWidth="1"/>
    <col min="5892" max="5892" width="24.5703125" customWidth="1"/>
    <col min="5893" max="5893" width="11.85546875" customWidth="1"/>
    <col min="5894" max="5894" width="11.7109375" customWidth="1"/>
    <col min="5895" max="5895" width="8.42578125" customWidth="1"/>
    <col min="5896" max="5896" width="10.5703125" customWidth="1"/>
    <col min="5897" max="5897" width="12.140625" customWidth="1"/>
    <col min="5898" max="5898" width="27" customWidth="1"/>
    <col min="5899" max="5899" width="15.42578125" customWidth="1"/>
    <col min="5900" max="5900" width="16.85546875" bestFit="1" customWidth="1"/>
    <col min="6145" max="6145" width="46.7109375" customWidth="1"/>
    <col min="6146" max="6146" width="45.42578125" customWidth="1"/>
    <col min="6147" max="6147" width="29.7109375" customWidth="1"/>
    <col min="6148" max="6148" width="24.5703125" customWidth="1"/>
    <col min="6149" max="6149" width="11.85546875" customWidth="1"/>
    <col min="6150" max="6150" width="11.7109375" customWidth="1"/>
    <col min="6151" max="6151" width="8.42578125" customWidth="1"/>
    <col min="6152" max="6152" width="10.5703125" customWidth="1"/>
    <col min="6153" max="6153" width="12.140625" customWidth="1"/>
    <col min="6154" max="6154" width="27" customWidth="1"/>
    <col min="6155" max="6155" width="15.42578125" customWidth="1"/>
    <col min="6156" max="6156" width="16.85546875" bestFit="1" customWidth="1"/>
    <col min="6401" max="6401" width="46.7109375" customWidth="1"/>
    <col min="6402" max="6402" width="45.42578125" customWidth="1"/>
    <col min="6403" max="6403" width="29.7109375" customWidth="1"/>
    <col min="6404" max="6404" width="24.5703125" customWidth="1"/>
    <col min="6405" max="6405" width="11.85546875" customWidth="1"/>
    <col min="6406" max="6406" width="11.7109375" customWidth="1"/>
    <col min="6407" max="6407" width="8.42578125" customWidth="1"/>
    <col min="6408" max="6408" width="10.5703125" customWidth="1"/>
    <col min="6409" max="6409" width="12.140625" customWidth="1"/>
    <col min="6410" max="6410" width="27" customWidth="1"/>
    <col min="6411" max="6411" width="15.42578125" customWidth="1"/>
    <col min="6412" max="6412" width="16.85546875" bestFit="1" customWidth="1"/>
    <col min="6657" max="6657" width="46.7109375" customWidth="1"/>
    <col min="6658" max="6658" width="45.42578125" customWidth="1"/>
    <col min="6659" max="6659" width="29.7109375" customWidth="1"/>
    <col min="6660" max="6660" width="24.5703125" customWidth="1"/>
    <col min="6661" max="6661" width="11.85546875" customWidth="1"/>
    <col min="6662" max="6662" width="11.7109375" customWidth="1"/>
    <col min="6663" max="6663" width="8.42578125" customWidth="1"/>
    <col min="6664" max="6664" width="10.5703125" customWidth="1"/>
    <col min="6665" max="6665" width="12.140625" customWidth="1"/>
    <col min="6666" max="6666" width="27" customWidth="1"/>
    <col min="6667" max="6667" width="15.42578125" customWidth="1"/>
    <col min="6668" max="6668" width="16.85546875" bestFit="1" customWidth="1"/>
    <col min="6913" max="6913" width="46.7109375" customWidth="1"/>
    <col min="6914" max="6914" width="45.42578125" customWidth="1"/>
    <col min="6915" max="6915" width="29.7109375" customWidth="1"/>
    <col min="6916" max="6916" width="24.5703125" customWidth="1"/>
    <col min="6917" max="6917" width="11.85546875" customWidth="1"/>
    <col min="6918" max="6918" width="11.7109375" customWidth="1"/>
    <col min="6919" max="6919" width="8.42578125" customWidth="1"/>
    <col min="6920" max="6920" width="10.5703125" customWidth="1"/>
    <col min="6921" max="6921" width="12.140625" customWidth="1"/>
    <col min="6922" max="6922" width="27" customWidth="1"/>
    <col min="6923" max="6923" width="15.42578125" customWidth="1"/>
    <col min="6924" max="6924" width="16.85546875" bestFit="1" customWidth="1"/>
    <col min="7169" max="7169" width="46.7109375" customWidth="1"/>
    <col min="7170" max="7170" width="45.42578125" customWidth="1"/>
    <col min="7171" max="7171" width="29.7109375" customWidth="1"/>
    <col min="7172" max="7172" width="24.5703125" customWidth="1"/>
    <col min="7173" max="7173" width="11.85546875" customWidth="1"/>
    <col min="7174" max="7174" width="11.7109375" customWidth="1"/>
    <col min="7175" max="7175" width="8.42578125" customWidth="1"/>
    <col min="7176" max="7176" width="10.5703125" customWidth="1"/>
    <col min="7177" max="7177" width="12.140625" customWidth="1"/>
    <col min="7178" max="7178" width="27" customWidth="1"/>
    <col min="7179" max="7179" width="15.42578125" customWidth="1"/>
    <col min="7180" max="7180" width="16.85546875" bestFit="1" customWidth="1"/>
    <col min="7425" max="7425" width="46.7109375" customWidth="1"/>
    <col min="7426" max="7426" width="45.42578125" customWidth="1"/>
    <col min="7427" max="7427" width="29.7109375" customWidth="1"/>
    <col min="7428" max="7428" width="24.5703125" customWidth="1"/>
    <col min="7429" max="7429" width="11.85546875" customWidth="1"/>
    <col min="7430" max="7430" width="11.7109375" customWidth="1"/>
    <col min="7431" max="7431" width="8.42578125" customWidth="1"/>
    <col min="7432" max="7432" width="10.5703125" customWidth="1"/>
    <col min="7433" max="7433" width="12.140625" customWidth="1"/>
    <col min="7434" max="7434" width="27" customWidth="1"/>
    <col min="7435" max="7435" width="15.42578125" customWidth="1"/>
    <col min="7436" max="7436" width="16.85546875" bestFit="1" customWidth="1"/>
    <col min="7681" max="7681" width="46.7109375" customWidth="1"/>
    <col min="7682" max="7682" width="45.42578125" customWidth="1"/>
    <col min="7683" max="7683" width="29.7109375" customWidth="1"/>
    <col min="7684" max="7684" width="24.5703125" customWidth="1"/>
    <col min="7685" max="7685" width="11.85546875" customWidth="1"/>
    <col min="7686" max="7686" width="11.7109375" customWidth="1"/>
    <col min="7687" max="7687" width="8.42578125" customWidth="1"/>
    <col min="7688" max="7688" width="10.5703125" customWidth="1"/>
    <col min="7689" max="7689" width="12.140625" customWidth="1"/>
    <col min="7690" max="7690" width="27" customWidth="1"/>
    <col min="7691" max="7691" width="15.42578125" customWidth="1"/>
    <col min="7692" max="7692" width="16.85546875" bestFit="1" customWidth="1"/>
    <col min="7937" max="7937" width="46.7109375" customWidth="1"/>
    <col min="7938" max="7938" width="45.42578125" customWidth="1"/>
    <col min="7939" max="7939" width="29.7109375" customWidth="1"/>
    <col min="7940" max="7940" width="24.5703125" customWidth="1"/>
    <col min="7941" max="7941" width="11.85546875" customWidth="1"/>
    <col min="7942" max="7942" width="11.7109375" customWidth="1"/>
    <col min="7943" max="7943" width="8.42578125" customWidth="1"/>
    <col min="7944" max="7944" width="10.5703125" customWidth="1"/>
    <col min="7945" max="7945" width="12.140625" customWidth="1"/>
    <col min="7946" max="7946" width="27" customWidth="1"/>
    <col min="7947" max="7947" width="15.42578125" customWidth="1"/>
    <col min="7948" max="7948" width="16.85546875" bestFit="1" customWidth="1"/>
    <col min="8193" max="8193" width="46.7109375" customWidth="1"/>
    <col min="8194" max="8194" width="45.42578125" customWidth="1"/>
    <col min="8195" max="8195" width="29.7109375" customWidth="1"/>
    <col min="8196" max="8196" width="24.5703125" customWidth="1"/>
    <col min="8197" max="8197" width="11.85546875" customWidth="1"/>
    <col min="8198" max="8198" width="11.7109375" customWidth="1"/>
    <col min="8199" max="8199" width="8.42578125" customWidth="1"/>
    <col min="8200" max="8200" width="10.5703125" customWidth="1"/>
    <col min="8201" max="8201" width="12.140625" customWidth="1"/>
    <col min="8202" max="8202" width="27" customWidth="1"/>
    <col min="8203" max="8203" width="15.42578125" customWidth="1"/>
    <col min="8204" max="8204" width="16.85546875" bestFit="1" customWidth="1"/>
    <col min="8449" max="8449" width="46.7109375" customWidth="1"/>
    <col min="8450" max="8450" width="45.42578125" customWidth="1"/>
    <col min="8451" max="8451" width="29.7109375" customWidth="1"/>
    <col min="8452" max="8452" width="24.5703125" customWidth="1"/>
    <col min="8453" max="8453" width="11.85546875" customWidth="1"/>
    <col min="8454" max="8454" width="11.7109375" customWidth="1"/>
    <col min="8455" max="8455" width="8.42578125" customWidth="1"/>
    <col min="8456" max="8456" width="10.5703125" customWidth="1"/>
    <col min="8457" max="8457" width="12.140625" customWidth="1"/>
    <col min="8458" max="8458" width="27" customWidth="1"/>
    <col min="8459" max="8459" width="15.42578125" customWidth="1"/>
    <col min="8460" max="8460" width="16.85546875" bestFit="1" customWidth="1"/>
    <col min="8705" max="8705" width="46.7109375" customWidth="1"/>
    <col min="8706" max="8706" width="45.42578125" customWidth="1"/>
    <col min="8707" max="8707" width="29.7109375" customWidth="1"/>
    <col min="8708" max="8708" width="24.5703125" customWidth="1"/>
    <col min="8709" max="8709" width="11.85546875" customWidth="1"/>
    <col min="8710" max="8710" width="11.7109375" customWidth="1"/>
    <col min="8711" max="8711" width="8.42578125" customWidth="1"/>
    <col min="8712" max="8712" width="10.5703125" customWidth="1"/>
    <col min="8713" max="8713" width="12.140625" customWidth="1"/>
    <col min="8714" max="8714" width="27" customWidth="1"/>
    <col min="8715" max="8715" width="15.42578125" customWidth="1"/>
    <col min="8716" max="8716" width="16.85546875" bestFit="1" customWidth="1"/>
    <col min="8961" max="8961" width="46.7109375" customWidth="1"/>
    <col min="8962" max="8962" width="45.42578125" customWidth="1"/>
    <col min="8963" max="8963" width="29.7109375" customWidth="1"/>
    <col min="8964" max="8964" width="24.5703125" customWidth="1"/>
    <col min="8965" max="8965" width="11.85546875" customWidth="1"/>
    <col min="8966" max="8966" width="11.7109375" customWidth="1"/>
    <col min="8967" max="8967" width="8.42578125" customWidth="1"/>
    <col min="8968" max="8968" width="10.5703125" customWidth="1"/>
    <col min="8969" max="8969" width="12.140625" customWidth="1"/>
    <col min="8970" max="8970" width="27" customWidth="1"/>
    <col min="8971" max="8971" width="15.42578125" customWidth="1"/>
    <col min="8972" max="8972" width="16.85546875" bestFit="1" customWidth="1"/>
    <col min="9217" max="9217" width="46.7109375" customWidth="1"/>
    <col min="9218" max="9218" width="45.42578125" customWidth="1"/>
    <col min="9219" max="9219" width="29.7109375" customWidth="1"/>
    <col min="9220" max="9220" width="24.5703125" customWidth="1"/>
    <col min="9221" max="9221" width="11.85546875" customWidth="1"/>
    <col min="9222" max="9222" width="11.7109375" customWidth="1"/>
    <col min="9223" max="9223" width="8.42578125" customWidth="1"/>
    <col min="9224" max="9224" width="10.5703125" customWidth="1"/>
    <col min="9225" max="9225" width="12.140625" customWidth="1"/>
    <col min="9226" max="9226" width="27" customWidth="1"/>
    <col min="9227" max="9227" width="15.42578125" customWidth="1"/>
    <col min="9228" max="9228" width="16.85546875" bestFit="1" customWidth="1"/>
    <col min="9473" max="9473" width="46.7109375" customWidth="1"/>
    <col min="9474" max="9474" width="45.42578125" customWidth="1"/>
    <col min="9475" max="9475" width="29.7109375" customWidth="1"/>
    <col min="9476" max="9476" width="24.5703125" customWidth="1"/>
    <col min="9477" max="9477" width="11.85546875" customWidth="1"/>
    <col min="9478" max="9478" width="11.7109375" customWidth="1"/>
    <col min="9479" max="9479" width="8.42578125" customWidth="1"/>
    <col min="9480" max="9480" width="10.5703125" customWidth="1"/>
    <col min="9481" max="9481" width="12.140625" customWidth="1"/>
    <col min="9482" max="9482" width="27" customWidth="1"/>
    <col min="9483" max="9483" width="15.42578125" customWidth="1"/>
    <col min="9484" max="9484" width="16.85546875" bestFit="1" customWidth="1"/>
    <col min="9729" max="9729" width="46.7109375" customWidth="1"/>
    <col min="9730" max="9730" width="45.42578125" customWidth="1"/>
    <col min="9731" max="9731" width="29.7109375" customWidth="1"/>
    <col min="9732" max="9732" width="24.5703125" customWidth="1"/>
    <col min="9733" max="9733" width="11.85546875" customWidth="1"/>
    <col min="9734" max="9734" width="11.7109375" customWidth="1"/>
    <col min="9735" max="9735" width="8.42578125" customWidth="1"/>
    <col min="9736" max="9736" width="10.5703125" customWidth="1"/>
    <col min="9737" max="9737" width="12.140625" customWidth="1"/>
    <col min="9738" max="9738" width="27" customWidth="1"/>
    <col min="9739" max="9739" width="15.42578125" customWidth="1"/>
    <col min="9740" max="9740" width="16.85546875" bestFit="1" customWidth="1"/>
    <col min="9985" max="9985" width="46.7109375" customWidth="1"/>
    <col min="9986" max="9986" width="45.42578125" customWidth="1"/>
    <col min="9987" max="9987" width="29.7109375" customWidth="1"/>
    <col min="9988" max="9988" width="24.5703125" customWidth="1"/>
    <col min="9989" max="9989" width="11.85546875" customWidth="1"/>
    <col min="9990" max="9990" width="11.7109375" customWidth="1"/>
    <col min="9991" max="9991" width="8.42578125" customWidth="1"/>
    <col min="9992" max="9992" width="10.5703125" customWidth="1"/>
    <col min="9993" max="9993" width="12.140625" customWidth="1"/>
    <col min="9994" max="9994" width="27" customWidth="1"/>
    <col min="9995" max="9995" width="15.42578125" customWidth="1"/>
    <col min="9996" max="9996" width="16.85546875" bestFit="1" customWidth="1"/>
    <col min="10241" max="10241" width="46.7109375" customWidth="1"/>
    <col min="10242" max="10242" width="45.42578125" customWidth="1"/>
    <col min="10243" max="10243" width="29.7109375" customWidth="1"/>
    <col min="10244" max="10244" width="24.5703125" customWidth="1"/>
    <col min="10245" max="10245" width="11.85546875" customWidth="1"/>
    <col min="10246" max="10246" width="11.7109375" customWidth="1"/>
    <col min="10247" max="10247" width="8.42578125" customWidth="1"/>
    <col min="10248" max="10248" width="10.5703125" customWidth="1"/>
    <col min="10249" max="10249" width="12.140625" customWidth="1"/>
    <col min="10250" max="10250" width="27" customWidth="1"/>
    <col min="10251" max="10251" width="15.42578125" customWidth="1"/>
    <col min="10252" max="10252" width="16.85546875" bestFit="1" customWidth="1"/>
    <col min="10497" max="10497" width="46.7109375" customWidth="1"/>
    <col min="10498" max="10498" width="45.42578125" customWidth="1"/>
    <col min="10499" max="10499" width="29.7109375" customWidth="1"/>
    <col min="10500" max="10500" width="24.5703125" customWidth="1"/>
    <col min="10501" max="10501" width="11.85546875" customWidth="1"/>
    <col min="10502" max="10502" width="11.7109375" customWidth="1"/>
    <col min="10503" max="10503" width="8.42578125" customWidth="1"/>
    <col min="10504" max="10504" width="10.5703125" customWidth="1"/>
    <col min="10505" max="10505" width="12.140625" customWidth="1"/>
    <col min="10506" max="10506" width="27" customWidth="1"/>
    <col min="10507" max="10507" width="15.42578125" customWidth="1"/>
    <col min="10508" max="10508" width="16.85546875" bestFit="1" customWidth="1"/>
    <col min="10753" max="10753" width="46.7109375" customWidth="1"/>
    <col min="10754" max="10754" width="45.42578125" customWidth="1"/>
    <col min="10755" max="10755" width="29.7109375" customWidth="1"/>
    <col min="10756" max="10756" width="24.5703125" customWidth="1"/>
    <col min="10757" max="10757" width="11.85546875" customWidth="1"/>
    <col min="10758" max="10758" width="11.7109375" customWidth="1"/>
    <col min="10759" max="10759" width="8.42578125" customWidth="1"/>
    <col min="10760" max="10760" width="10.5703125" customWidth="1"/>
    <col min="10761" max="10761" width="12.140625" customWidth="1"/>
    <col min="10762" max="10762" width="27" customWidth="1"/>
    <col min="10763" max="10763" width="15.42578125" customWidth="1"/>
    <col min="10764" max="10764" width="16.85546875" bestFit="1" customWidth="1"/>
    <col min="11009" max="11009" width="46.7109375" customWidth="1"/>
    <col min="11010" max="11010" width="45.42578125" customWidth="1"/>
    <col min="11011" max="11011" width="29.7109375" customWidth="1"/>
    <col min="11012" max="11012" width="24.5703125" customWidth="1"/>
    <col min="11013" max="11013" width="11.85546875" customWidth="1"/>
    <col min="11014" max="11014" width="11.7109375" customWidth="1"/>
    <col min="11015" max="11015" width="8.42578125" customWidth="1"/>
    <col min="11016" max="11016" width="10.5703125" customWidth="1"/>
    <col min="11017" max="11017" width="12.140625" customWidth="1"/>
    <col min="11018" max="11018" width="27" customWidth="1"/>
    <col min="11019" max="11019" width="15.42578125" customWidth="1"/>
    <col min="11020" max="11020" width="16.85546875" bestFit="1" customWidth="1"/>
    <col min="11265" max="11265" width="46.7109375" customWidth="1"/>
    <col min="11266" max="11266" width="45.42578125" customWidth="1"/>
    <col min="11267" max="11267" width="29.7109375" customWidth="1"/>
    <col min="11268" max="11268" width="24.5703125" customWidth="1"/>
    <col min="11269" max="11269" width="11.85546875" customWidth="1"/>
    <col min="11270" max="11270" width="11.7109375" customWidth="1"/>
    <col min="11271" max="11271" width="8.42578125" customWidth="1"/>
    <col min="11272" max="11272" width="10.5703125" customWidth="1"/>
    <col min="11273" max="11273" width="12.140625" customWidth="1"/>
    <col min="11274" max="11274" width="27" customWidth="1"/>
    <col min="11275" max="11275" width="15.42578125" customWidth="1"/>
    <col min="11276" max="11276" width="16.85546875" bestFit="1" customWidth="1"/>
    <col min="11521" max="11521" width="46.7109375" customWidth="1"/>
    <col min="11522" max="11522" width="45.42578125" customWidth="1"/>
    <col min="11523" max="11523" width="29.7109375" customWidth="1"/>
    <col min="11524" max="11524" width="24.5703125" customWidth="1"/>
    <col min="11525" max="11525" width="11.85546875" customWidth="1"/>
    <col min="11526" max="11526" width="11.7109375" customWidth="1"/>
    <col min="11527" max="11527" width="8.42578125" customWidth="1"/>
    <col min="11528" max="11528" width="10.5703125" customWidth="1"/>
    <col min="11529" max="11529" width="12.140625" customWidth="1"/>
    <col min="11530" max="11530" width="27" customWidth="1"/>
    <col min="11531" max="11531" width="15.42578125" customWidth="1"/>
    <col min="11532" max="11532" width="16.85546875" bestFit="1" customWidth="1"/>
    <col min="11777" max="11777" width="46.7109375" customWidth="1"/>
    <col min="11778" max="11778" width="45.42578125" customWidth="1"/>
    <col min="11779" max="11779" width="29.7109375" customWidth="1"/>
    <col min="11780" max="11780" width="24.5703125" customWidth="1"/>
    <col min="11781" max="11781" width="11.85546875" customWidth="1"/>
    <col min="11782" max="11782" width="11.7109375" customWidth="1"/>
    <col min="11783" max="11783" width="8.42578125" customWidth="1"/>
    <col min="11784" max="11784" width="10.5703125" customWidth="1"/>
    <col min="11785" max="11785" width="12.140625" customWidth="1"/>
    <col min="11786" max="11786" width="27" customWidth="1"/>
    <col min="11787" max="11787" width="15.42578125" customWidth="1"/>
    <col min="11788" max="11788" width="16.85546875" bestFit="1" customWidth="1"/>
    <col min="12033" max="12033" width="46.7109375" customWidth="1"/>
    <col min="12034" max="12034" width="45.42578125" customWidth="1"/>
    <col min="12035" max="12035" width="29.7109375" customWidth="1"/>
    <col min="12036" max="12036" width="24.5703125" customWidth="1"/>
    <col min="12037" max="12037" width="11.85546875" customWidth="1"/>
    <col min="12038" max="12038" width="11.7109375" customWidth="1"/>
    <col min="12039" max="12039" width="8.42578125" customWidth="1"/>
    <col min="12040" max="12040" width="10.5703125" customWidth="1"/>
    <col min="12041" max="12041" width="12.140625" customWidth="1"/>
    <col min="12042" max="12042" width="27" customWidth="1"/>
    <col min="12043" max="12043" width="15.42578125" customWidth="1"/>
    <col min="12044" max="12044" width="16.85546875" bestFit="1" customWidth="1"/>
    <col min="12289" max="12289" width="46.7109375" customWidth="1"/>
    <col min="12290" max="12290" width="45.42578125" customWidth="1"/>
    <col min="12291" max="12291" width="29.7109375" customWidth="1"/>
    <col min="12292" max="12292" width="24.5703125" customWidth="1"/>
    <col min="12293" max="12293" width="11.85546875" customWidth="1"/>
    <col min="12294" max="12294" width="11.7109375" customWidth="1"/>
    <col min="12295" max="12295" width="8.42578125" customWidth="1"/>
    <col min="12296" max="12296" width="10.5703125" customWidth="1"/>
    <col min="12297" max="12297" width="12.140625" customWidth="1"/>
    <col min="12298" max="12298" width="27" customWidth="1"/>
    <col min="12299" max="12299" width="15.42578125" customWidth="1"/>
    <col min="12300" max="12300" width="16.85546875" bestFit="1" customWidth="1"/>
    <col min="12545" max="12545" width="46.7109375" customWidth="1"/>
    <col min="12546" max="12546" width="45.42578125" customWidth="1"/>
    <col min="12547" max="12547" width="29.7109375" customWidth="1"/>
    <col min="12548" max="12548" width="24.5703125" customWidth="1"/>
    <col min="12549" max="12549" width="11.85546875" customWidth="1"/>
    <col min="12550" max="12550" width="11.7109375" customWidth="1"/>
    <col min="12551" max="12551" width="8.42578125" customWidth="1"/>
    <col min="12552" max="12552" width="10.5703125" customWidth="1"/>
    <col min="12553" max="12553" width="12.140625" customWidth="1"/>
    <col min="12554" max="12554" width="27" customWidth="1"/>
    <col min="12555" max="12555" width="15.42578125" customWidth="1"/>
    <col min="12556" max="12556" width="16.85546875" bestFit="1" customWidth="1"/>
    <col min="12801" max="12801" width="46.7109375" customWidth="1"/>
    <col min="12802" max="12802" width="45.42578125" customWidth="1"/>
    <col min="12803" max="12803" width="29.7109375" customWidth="1"/>
    <col min="12804" max="12804" width="24.5703125" customWidth="1"/>
    <col min="12805" max="12805" width="11.85546875" customWidth="1"/>
    <col min="12806" max="12806" width="11.7109375" customWidth="1"/>
    <col min="12807" max="12807" width="8.42578125" customWidth="1"/>
    <col min="12808" max="12808" width="10.5703125" customWidth="1"/>
    <col min="12809" max="12809" width="12.140625" customWidth="1"/>
    <col min="12810" max="12810" width="27" customWidth="1"/>
    <col min="12811" max="12811" width="15.42578125" customWidth="1"/>
    <col min="12812" max="12812" width="16.85546875" bestFit="1" customWidth="1"/>
    <col min="13057" max="13057" width="46.7109375" customWidth="1"/>
    <col min="13058" max="13058" width="45.42578125" customWidth="1"/>
    <col min="13059" max="13059" width="29.7109375" customWidth="1"/>
    <col min="13060" max="13060" width="24.5703125" customWidth="1"/>
    <col min="13061" max="13061" width="11.85546875" customWidth="1"/>
    <col min="13062" max="13062" width="11.7109375" customWidth="1"/>
    <col min="13063" max="13063" width="8.42578125" customWidth="1"/>
    <col min="13064" max="13064" width="10.5703125" customWidth="1"/>
    <col min="13065" max="13065" width="12.140625" customWidth="1"/>
    <col min="13066" max="13066" width="27" customWidth="1"/>
    <col min="13067" max="13067" width="15.42578125" customWidth="1"/>
    <col min="13068" max="13068" width="16.85546875" bestFit="1" customWidth="1"/>
    <col min="13313" max="13313" width="46.7109375" customWidth="1"/>
    <col min="13314" max="13314" width="45.42578125" customWidth="1"/>
    <col min="13315" max="13315" width="29.7109375" customWidth="1"/>
    <col min="13316" max="13316" width="24.5703125" customWidth="1"/>
    <col min="13317" max="13317" width="11.85546875" customWidth="1"/>
    <col min="13318" max="13318" width="11.7109375" customWidth="1"/>
    <col min="13319" max="13319" width="8.42578125" customWidth="1"/>
    <col min="13320" max="13320" width="10.5703125" customWidth="1"/>
    <col min="13321" max="13321" width="12.140625" customWidth="1"/>
    <col min="13322" max="13322" width="27" customWidth="1"/>
    <col min="13323" max="13323" width="15.42578125" customWidth="1"/>
    <col min="13324" max="13324" width="16.85546875" bestFit="1" customWidth="1"/>
    <col min="13569" max="13569" width="46.7109375" customWidth="1"/>
    <col min="13570" max="13570" width="45.42578125" customWidth="1"/>
    <col min="13571" max="13571" width="29.7109375" customWidth="1"/>
    <col min="13572" max="13572" width="24.5703125" customWidth="1"/>
    <col min="13573" max="13573" width="11.85546875" customWidth="1"/>
    <col min="13574" max="13574" width="11.7109375" customWidth="1"/>
    <col min="13575" max="13575" width="8.42578125" customWidth="1"/>
    <col min="13576" max="13576" width="10.5703125" customWidth="1"/>
    <col min="13577" max="13577" width="12.140625" customWidth="1"/>
    <col min="13578" max="13578" width="27" customWidth="1"/>
    <col min="13579" max="13579" width="15.42578125" customWidth="1"/>
    <col min="13580" max="13580" width="16.85546875" bestFit="1" customWidth="1"/>
    <col min="13825" max="13825" width="46.7109375" customWidth="1"/>
    <col min="13826" max="13826" width="45.42578125" customWidth="1"/>
    <col min="13827" max="13827" width="29.7109375" customWidth="1"/>
    <col min="13828" max="13828" width="24.5703125" customWidth="1"/>
    <col min="13829" max="13829" width="11.85546875" customWidth="1"/>
    <col min="13830" max="13830" width="11.7109375" customWidth="1"/>
    <col min="13831" max="13831" width="8.42578125" customWidth="1"/>
    <col min="13832" max="13832" width="10.5703125" customWidth="1"/>
    <col min="13833" max="13833" width="12.140625" customWidth="1"/>
    <col min="13834" max="13834" width="27" customWidth="1"/>
    <col min="13835" max="13835" width="15.42578125" customWidth="1"/>
    <col min="13836" max="13836" width="16.85546875" bestFit="1" customWidth="1"/>
    <col min="14081" max="14081" width="46.7109375" customWidth="1"/>
    <col min="14082" max="14082" width="45.42578125" customWidth="1"/>
    <col min="14083" max="14083" width="29.7109375" customWidth="1"/>
    <col min="14084" max="14084" width="24.5703125" customWidth="1"/>
    <col min="14085" max="14085" width="11.85546875" customWidth="1"/>
    <col min="14086" max="14086" width="11.7109375" customWidth="1"/>
    <col min="14087" max="14087" width="8.42578125" customWidth="1"/>
    <col min="14088" max="14088" width="10.5703125" customWidth="1"/>
    <col min="14089" max="14089" width="12.140625" customWidth="1"/>
    <col min="14090" max="14090" width="27" customWidth="1"/>
    <col min="14091" max="14091" width="15.42578125" customWidth="1"/>
    <col min="14092" max="14092" width="16.85546875" bestFit="1" customWidth="1"/>
    <col min="14337" max="14337" width="46.7109375" customWidth="1"/>
    <col min="14338" max="14338" width="45.42578125" customWidth="1"/>
    <col min="14339" max="14339" width="29.7109375" customWidth="1"/>
    <col min="14340" max="14340" width="24.5703125" customWidth="1"/>
    <col min="14341" max="14341" width="11.85546875" customWidth="1"/>
    <col min="14342" max="14342" width="11.7109375" customWidth="1"/>
    <col min="14343" max="14343" width="8.42578125" customWidth="1"/>
    <col min="14344" max="14344" width="10.5703125" customWidth="1"/>
    <col min="14345" max="14345" width="12.140625" customWidth="1"/>
    <col min="14346" max="14346" width="27" customWidth="1"/>
    <col min="14347" max="14347" width="15.42578125" customWidth="1"/>
    <col min="14348" max="14348" width="16.85546875" bestFit="1" customWidth="1"/>
    <col min="14593" max="14593" width="46.7109375" customWidth="1"/>
    <col min="14594" max="14594" width="45.42578125" customWidth="1"/>
    <col min="14595" max="14595" width="29.7109375" customWidth="1"/>
    <col min="14596" max="14596" width="24.5703125" customWidth="1"/>
    <col min="14597" max="14597" width="11.85546875" customWidth="1"/>
    <col min="14598" max="14598" width="11.7109375" customWidth="1"/>
    <col min="14599" max="14599" width="8.42578125" customWidth="1"/>
    <col min="14600" max="14600" width="10.5703125" customWidth="1"/>
    <col min="14601" max="14601" width="12.140625" customWidth="1"/>
    <col min="14602" max="14602" width="27" customWidth="1"/>
    <col min="14603" max="14603" width="15.42578125" customWidth="1"/>
    <col min="14604" max="14604" width="16.85546875" bestFit="1" customWidth="1"/>
    <col min="14849" max="14849" width="46.7109375" customWidth="1"/>
    <col min="14850" max="14850" width="45.42578125" customWidth="1"/>
    <col min="14851" max="14851" width="29.7109375" customWidth="1"/>
    <col min="14852" max="14852" width="24.5703125" customWidth="1"/>
    <col min="14853" max="14853" width="11.85546875" customWidth="1"/>
    <col min="14854" max="14854" width="11.7109375" customWidth="1"/>
    <col min="14855" max="14855" width="8.42578125" customWidth="1"/>
    <col min="14856" max="14856" width="10.5703125" customWidth="1"/>
    <col min="14857" max="14857" width="12.140625" customWidth="1"/>
    <col min="14858" max="14858" width="27" customWidth="1"/>
    <col min="14859" max="14859" width="15.42578125" customWidth="1"/>
    <col min="14860" max="14860" width="16.85546875" bestFit="1" customWidth="1"/>
    <col min="15105" max="15105" width="46.7109375" customWidth="1"/>
    <col min="15106" max="15106" width="45.42578125" customWidth="1"/>
    <col min="15107" max="15107" width="29.7109375" customWidth="1"/>
    <col min="15108" max="15108" width="24.5703125" customWidth="1"/>
    <col min="15109" max="15109" width="11.85546875" customWidth="1"/>
    <col min="15110" max="15110" width="11.7109375" customWidth="1"/>
    <col min="15111" max="15111" width="8.42578125" customWidth="1"/>
    <col min="15112" max="15112" width="10.5703125" customWidth="1"/>
    <col min="15113" max="15113" width="12.140625" customWidth="1"/>
    <col min="15114" max="15114" width="27" customWidth="1"/>
    <col min="15115" max="15115" width="15.42578125" customWidth="1"/>
    <col min="15116" max="15116" width="16.85546875" bestFit="1" customWidth="1"/>
    <col min="15361" max="15361" width="46.7109375" customWidth="1"/>
    <col min="15362" max="15362" width="45.42578125" customWidth="1"/>
    <col min="15363" max="15363" width="29.7109375" customWidth="1"/>
    <col min="15364" max="15364" width="24.5703125" customWidth="1"/>
    <col min="15365" max="15365" width="11.85546875" customWidth="1"/>
    <col min="15366" max="15366" width="11.7109375" customWidth="1"/>
    <col min="15367" max="15367" width="8.42578125" customWidth="1"/>
    <col min="15368" max="15368" width="10.5703125" customWidth="1"/>
    <col min="15369" max="15369" width="12.140625" customWidth="1"/>
    <col min="15370" max="15370" width="27" customWidth="1"/>
    <col min="15371" max="15371" width="15.42578125" customWidth="1"/>
    <col min="15372" max="15372" width="16.85546875" bestFit="1" customWidth="1"/>
    <col min="15617" max="15617" width="46.7109375" customWidth="1"/>
    <col min="15618" max="15618" width="45.42578125" customWidth="1"/>
    <col min="15619" max="15619" width="29.7109375" customWidth="1"/>
    <col min="15620" max="15620" width="24.5703125" customWidth="1"/>
    <col min="15621" max="15621" width="11.85546875" customWidth="1"/>
    <col min="15622" max="15622" width="11.7109375" customWidth="1"/>
    <col min="15623" max="15623" width="8.42578125" customWidth="1"/>
    <col min="15624" max="15624" width="10.5703125" customWidth="1"/>
    <col min="15625" max="15625" width="12.140625" customWidth="1"/>
    <col min="15626" max="15626" width="27" customWidth="1"/>
    <col min="15627" max="15627" width="15.42578125" customWidth="1"/>
    <col min="15628" max="15628" width="16.85546875" bestFit="1" customWidth="1"/>
    <col min="15873" max="15873" width="46.7109375" customWidth="1"/>
    <col min="15874" max="15874" width="45.42578125" customWidth="1"/>
    <col min="15875" max="15875" width="29.7109375" customWidth="1"/>
    <col min="15876" max="15876" width="24.5703125" customWidth="1"/>
    <col min="15877" max="15877" width="11.85546875" customWidth="1"/>
    <col min="15878" max="15878" width="11.7109375" customWidth="1"/>
    <col min="15879" max="15879" width="8.42578125" customWidth="1"/>
    <col min="15880" max="15880" width="10.5703125" customWidth="1"/>
    <col min="15881" max="15881" width="12.140625" customWidth="1"/>
    <col min="15882" max="15882" width="27" customWidth="1"/>
    <col min="15883" max="15883" width="15.42578125" customWidth="1"/>
    <col min="15884" max="15884" width="16.85546875" bestFit="1" customWidth="1"/>
    <col min="16129" max="16129" width="46.7109375" customWidth="1"/>
    <col min="16130" max="16130" width="45.42578125" customWidth="1"/>
    <col min="16131" max="16131" width="29.7109375" customWidth="1"/>
    <col min="16132" max="16132" width="24.5703125" customWidth="1"/>
    <col min="16133" max="16133" width="11.85546875" customWidth="1"/>
    <col min="16134" max="16134" width="11.7109375" customWidth="1"/>
    <col min="16135" max="16135" width="8.42578125" customWidth="1"/>
    <col min="16136" max="16136" width="10.5703125" customWidth="1"/>
    <col min="16137" max="16137" width="12.140625" customWidth="1"/>
    <col min="16138" max="16138" width="27" customWidth="1"/>
    <col min="16139" max="16139" width="15.42578125" customWidth="1"/>
    <col min="16140" max="16140" width="16.85546875" bestFit="1" customWidth="1"/>
  </cols>
  <sheetData>
    <row r="1" spans="1:12" s="177" customFormat="1" ht="21" customHeight="1">
      <c r="A1" s="175" t="s">
        <v>235</v>
      </c>
      <c r="B1" s="176"/>
    </row>
    <row r="2" spans="1:12" s="177" customFormat="1" ht="19.5" customHeight="1">
      <c r="A2" s="178" t="s">
        <v>237</v>
      </c>
      <c r="B2" s="176"/>
      <c r="C2" s="179"/>
      <c r="D2" s="179"/>
      <c r="E2" s="179"/>
      <c r="F2" s="179"/>
      <c r="G2" s="179"/>
      <c r="H2" s="179"/>
      <c r="I2" s="179"/>
      <c r="J2" s="179"/>
      <c r="K2" s="180" t="s">
        <v>234</v>
      </c>
    </row>
    <row r="3" spans="1:12" s="177" customFormat="1" ht="22.5" customHeight="1">
      <c r="A3" s="181" t="s">
        <v>238</v>
      </c>
      <c r="B3" s="176"/>
      <c r="C3" s="179"/>
      <c r="D3" s="179"/>
      <c r="E3" s="179"/>
      <c r="F3" s="179"/>
      <c r="G3" s="179"/>
      <c r="H3" s="179"/>
      <c r="I3" s="179"/>
      <c r="J3" s="179"/>
      <c r="K3" s="179"/>
    </row>
    <row r="4" spans="1:12" s="177" customFormat="1" ht="25.5" customHeight="1">
      <c r="A4" s="175" t="s">
        <v>239</v>
      </c>
      <c r="B4" s="176"/>
      <c r="C4" s="179"/>
      <c r="D4" s="179"/>
      <c r="E4" s="179"/>
      <c r="F4" s="179"/>
      <c r="G4" s="179"/>
      <c r="H4" s="179"/>
      <c r="I4" s="179"/>
      <c r="J4" s="179"/>
      <c r="K4" s="179"/>
    </row>
    <row r="5" spans="1:12" s="177" customFormat="1">
      <c r="A5" s="182" t="s">
        <v>228</v>
      </c>
      <c r="B5" s="182" t="s">
        <v>227</v>
      </c>
      <c r="C5" s="182" t="s">
        <v>226</v>
      </c>
      <c r="D5" s="182"/>
      <c r="E5" s="183" t="s">
        <v>225</v>
      </c>
      <c r="F5" s="183"/>
      <c r="G5" s="182" t="s">
        <v>224</v>
      </c>
      <c r="H5" s="1381" t="s">
        <v>223</v>
      </c>
      <c r="I5" s="1381"/>
      <c r="J5" s="182" t="s">
        <v>222</v>
      </c>
      <c r="K5" s="182" t="s">
        <v>221</v>
      </c>
    </row>
    <row r="6" spans="1:12" s="177" customFormat="1" ht="21.75" customHeight="1">
      <c r="A6" s="1382" t="s">
        <v>220</v>
      </c>
      <c r="B6" s="1379" t="s">
        <v>219</v>
      </c>
      <c r="C6" s="1379" t="s">
        <v>218</v>
      </c>
      <c r="D6" s="1379" t="s">
        <v>217</v>
      </c>
      <c r="E6" s="1379" t="s">
        <v>216</v>
      </c>
      <c r="F6" s="1379"/>
      <c r="G6" s="1379" t="s">
        <v>215</v>
      </c>
      <c r="H6" s="1379" t="s">
        <v>214</v>
      </c>
      <c r="I6" s="1379"/>
      <c r="J6" s="1379" t="s">
        <v>240</v>
      </c>
      <c r="K6" s="1380" t="s">
        <v>212</v>
      </c>
      <c r="L6" s="186"/>
    </row>
    <row r="7" spans="1:12" s="177" customFormat="1" ht="21.75" customHeight="1">
      <c r="A7" s="1382"/>
      <c r="B7" s="1379"/>
      <c r="C7" s="1379"/>
      <c r="D7" s="1379"/>
      <c r="E7" s="187" t="s">
        <v>211</v>
      </c>
      <c r="F7" s="187" t="s">
        <v>210</v>
      </c>
      <c r="G7" s="1379"/>
      <c r="H7" s="187" t="s">
        <v>211</v>
      </c>
      <c r="I7" s="187" t="s">
        <v>210</v>
      </c>
      <c r="J7" s="1379"/>
      <c r="K7" s="1380"/>
      <c r="L7" s="186"/>
    </row>
    <row r="8" spans="1:12" s="177" customFormat="1" ht="21.75" customHeight="1">
      <c r="A8" s="188" t="s">
        <v>208</v>
      </c>
      <c r="B8" s="189"/>
      <c r="C8" s="189"/>
      <c r="D8" s="189"/>
      <c r="E8" s="189"/>
      <c r="F8" s="189"/>
      <c r="G8" s="189"/>
      <c r="H8" s="189"/>
      <c r="I8" s="189"/>
      <c r="J8" s="189"/>
      <c r="K8" s="190">
        <f>SUM(K9)</f>
        <v>0</v>
      </c>
      <c r="L8" s="191"/>
    </row>
    <row r="9" spans="1:12" s="177" customFormat="1" ht="36.75" customHeight="1">
      <c r="A9" s="192"/>
      <c r="B9" s="193"/>
      <c r="C9" s="193"/>
      <c r="D9" s="194"/>
      <c r="E9" s="194"/>
      <c r="F9" s="194"/>
      <c r="G9" s="193"/>
      <c r="H9" s="193"/>
      <c r="I9" s="193"/>
      <c r="J9" s="193"/>
      <c r="K9" s="195"/>
      <c r="L9"/>
    </row>
    <row r="10" spans="1:12" s="177" customFormat="1" ht="20.25" customHeight="1">
      <c r="A10" s="188" t="s">
        <v>207</v>
      </c>
      <c r="B10" s="189"/>
      <c r="C10" s="189"/>
      <c r="D10" s="196"/>
      <c r="E10" s="196"/>
      <c r="F10" s="196"/>
      <c r="G10" s="189"/>
      <c r="H10" s="189"/>
      <c r="I10" s="189"/>
      <c r="J10" s="189"/>
      <c r="K10" s="190">
        <f>SUM(K11:K30)</f>
        <v>66378677.239999995</v>
      </c>
      <c r="L10"/>
    </row>
    <row r="11" spans="1:12" s="177" customFormat="1" ht="22.5" customHeight="1">
      <c r="A11" s="197" t="s">
        <v>241</v>
      </c>
      <c r="B11" s="197" t="s">
        <v>242</v>
      </c>
      <c r="C11" s="197" t="s">
        <v>109</v>
      </c>
      <c r="D11" s="198">
        <v>1.2500000000000001E-2</v>
      </c>
      <c r="E11" s="198">
        <v>5.0000000000000001E-3</v>
      </c>
      <c r="F11" s="199">
        <v>0.02</v>
      </c>
      <c r="G11" s="193"/>
      <c r="H11" s="193"/>
      <c r="I11" s="193"/>
      <c r="J11" s="200" t="s">
        <v>243</v>
      </c>
      <c r="K11" s="195">
        <v>25127495.579999998</v>
      </c>
      <c r="L11"/>
    </row>
    <row r="12" spans="1:12" s="177" customFormat="1" ht="23.25" customHeight="1">
      <c r="A12" s="197" t="s">
        <v>244</v>
      </c>
      <c r="B12" s="197" t="s">
        <v>245</v>
      </c>
      <c r="C12" s="197" t="s">
        <v>109</v>
      </c>
      <c r="D12" s="201"/>
      <c r="E12" s="202">
        <v>0.08</v>
      </c>
      <c r="F12" s="202">
        <v>0.12</v>
      </c>
      <c r="G12" s="193"/>
      <c r="H12" s="193"/>
      <c r="I12" s="193"/>
      <c r="J12" s="200" t="s">
        <v>243</v>
      </c>
      <c r="K12" s="195">
        <v>6578296.7000000002</v>
      </c>
      <c r="L12"/>
    </row>
    <row r="13" spans="1:12" s="177" customFormat="1" ht="18.75" customHeight="1">
      <c r="A13" s="197" t="s">
        <v>246</v>
      </c>
      <c r="B13" s="197" t="s">
        <v>247</v>
      </c>
      <c r="C13" s="197" t="s">
        <v>109</v>
      </c>
      <c r="D13" s="203">
        <v>8.6956000000000006E-2</v>
      </c>
      <c r="E13" s="194"/>
      <c r="F13" s="194"/>
      <c r="G13" s="193"/>
      <c r="H13" s="193"/>
      <c r="I13" s="193"/>
      <c r="J13" s="200" t="s">
        <v>243</v>
      </c>
      <c r="K13" s="195">
        <v>6800301.0099999998</v>
      </c>
      <c r="L13"/>
    </row>
    <row r="14" spans="1:12" s="177" customFormat="1" ht="18.75" customHeight="1">
      <c r="A14" s="197" t="s">
        <v>248</v>
      </c>
      <c r="B14" s="197" t="s">
        <v>249</v>
      </c>
      <c r="C14" s="197" t="s">
        <v>109</v>
      </c>
      <c r="D14" s="201"/>
      <c r="E14" s="194"/>
      <c r="F14" s="194"/>
      <c r="G14" s="193"/>
      <c r="H14" s="193"/>
      <c r="I14" s="193"/>
      <c r="J14" s="200" t="s">
        <v>243</v>
      </c>
      <c r="K14" s="195">
        <v>5572801.0199999996</v>
      </c>
      <c r="L14"/>
    </row>
    <row r="15" spans="1:12" s="177" customFormat="1">
      <c r="A15" s="197" t="s">
        <v>250</v>
      </c>
      <c r="B15" s="197" t="s">
        <v>251</v>
      </c>
      <c r="C15" s="197" t="s">
        <v>252</v>
      </c>
      <c r="D15" s="201"/>
      <c r="E15" s="204"/>
      <c r="F15" s="204"/>
      <c r="G15" s="193"/>
      <c r="H15" s="205">
        <v>260</v>
      </c>
      <c r="I15" s="205">
        <v>920</v>
      </c>
      <c r="J15" s="200" t="s">
        <v>243</v>
      </c>
      <c r="K15" s="195">
        <v>5351372.3</v>
      </c>
      <c r="L15"/>
    </row>
    <row r="16" spans="1:12" s="186" customFormat="1">
      <c r="A16" s="197" t="s">
        <v>253</v>
      </c>
      <c r="B16" s="197" t="s">
        <v>254</v>
      </c>
      <c r="C16" s="197" t="s">
        <v>255</v>
      </c>
      <c r="D16" s="201"/>
      <c r="E16" s="194"/>
      <c r="F16" s="194"/>
      <c r="G16" s="193"/>
      <c r="H16" s="193"/>
      <c r="I16" s="193"/>
      <c r="J16" s="200" t="s">
        <v>243</v>
      </c>
      <c r="K16" s="195">
        <v>2689085.49</v>
      </c>
      <c r="L16"/>
    </row>
    <row r="17" spans="1:12" s="186" customFormat="1">
      <c r="A17" s="197" t="s">
        <v>256</v>
      </c>
      <c r="B17" s="197" t="s">
        <v>251</v>
      </c>
      <c r="C17" s="197" t="s">
        <v>252</v>
      </c>
      <c r="D17" s="206"/>
      <c r="E17" s="207"/>
      <c r="F17" s="207"/>
      <c r="G17" s="193"/>
      <c r="H17" s="205">
        <f>(1.08*35)+(0.11*80)+392.92+93.6+63.02+241.72+78.05</f>
        <v>915.91</v>
      </c>
      <c r="I17" s="193"/>
      <c r="J17" s="200" t="s">
        <v>243</v>
      </c>
      <c r="K17" s="195">
        <v>2879165.29</v>
      </c>
      <c r="L17"/>
    </row>
    <row r="18" spans="1:12" ht="15.95" customHeight="1">
      <c r="A18" s="197" t="s">
        <v>257</v>
      </c>
      <c r="B18" s="197" t="s">
        <v>258</v>
      </c>
      <c r="C18" s="197" t="s">
        <v>254</v>
      </c>
      <c r="D18" s="201">
        <v>0.1</v>
      </c>
      <c r="E18" s="194"/>
      <c r="F18" s="194"/>
      <c r="G18" s="193"/>
      <c r="H18" s="193"/>
      <c r="I18" s="193"/>
      <c r="J18" s="200" t="s">
        <v>243</v>
      </c>
      <c r="K18" s="195">
        <v>3307795.49</v>
      </c>
    </row>
    <row r="19" spans="1:12" ht="19.5" customHeight="1">
      <c r="A19" s="197" t="s">
        <v>259</v>
      </c>
      <c r="B19" s="197" t="s">
        <v>260</v>
      </c>
      <c r="C19" s="197" t="s">
        <v>109</v>
      </c>
      <c r="D19" s="201"/>
      <c r="E19" s="194"/>
      <c r="F19" s="194"/>
      <c r="G19" s="193"/>
      <c r="H19" s="193"/>
      <c r="I19" s="193"/>
      <c r="J19" s="200" t="s">
        <v>243</v>
      </c>
      <c r="K19" s="195">
        <v>2249329.7999999998</v>
      </c>
    </row>
    <row r="20" spans="1:12" ht="15.95" customHeight="1">
      <c r="A20" s="197" t="s">
        <v>261</v>
      </c>
      <c r="B20" s="197" t="s">
        <v>260</v>
      </c>
      <c r="C20" s="197" t="s">
        <v>109</v>
      </c>
      <c r="D20" s="201"/>
      <c r="E20" s="194"/>
      <c r="F20" s="194"/>
      <c r="G20" s="193"/>
      <c r="H20" s="193"/>
      <c r="I20" s="193"/>
      <c r="J20" s="200" t="s">
        <v>243</v>
      </c>
      <c r="K20" s="195">
        <v>1001584.78</v>
      </c>
    </row>
    <row r="21" spans="1:12" ht="15.95" customHeight="1">
      <c r="A21" s="197" t="s">
        <v>262</v>
      </c>
      <c r="B21" s="197" t="s">
        <v>263</v>
      </c>
      <c r="C21" s="197" t="s">
        <v>264</v>
      </c>
      <c r="D21" s="201"/>
      <c r="E21" s="194"/>
      <c r="F21" s="194"/>
      <c r="G21" s="193"/>
      <c r="H21" s="208">
        <v>90</v>
      </c>
      <c r="I21" s="208">
        <v>102500</v>
      </c>
      <c r="J21" s="200" t="s">
        <v>243</v>
      </c>
      <c r="K21" s="195">
        <v>1456048.57</v>
      </c>
    </row>
    <row r="22" spans="1:12" ht="15.95" customHeight="1">
      <c r="A22" s="197" t="s">
        <v>265</v>
      </c>
      <c r="B22" s="197" t="s">
        <v>266</v>
      </c>
      <c r="C22" s="197" t="s">
        <v>254</v>
      </c>
      <c r="D22" s="201">
        <v>0.02</v>
      </c>
      <c r="E22" s="194"/>
      <c r="F22" s="194"/>
      <c r="G22" s="193"/>
      <c r="H22" s="193"/>
      <c r="I22" s="193"/>
      <c r="J22" s="200" t="s">
        <v>267</v>
      </c>
      <c r="K22" s="195">
        <v>1292518.28</v>
      </c>
    </row>
    <row r="23" spans="1:12" ht="15.95" customHeight="1">
      <c r="A23" s="197" t="s">
        <v>268</v>
      </c>
      <c r="B23" s="197" t="s">
        <v>269</v>
      </c>
      <c r="C23" s="197" t="s">
        <v>109</v>
      </c>
      <c r="D23" s="201">
        <v>0.02</v>
      </c>
      <c r="E23" s="194"/>
      <c r="F23" s="194"/>
      <c r="G23" s="193"/>
      <c r="H23" s="193"/>
      <c r="I23" s="193"/>
      <c r="J23" s="200" t="str">
        <f>+J21</f>
        <v>ORD. N° 673/22</v>
      </c>
      <c r="K23" s="195">
        <v>727533.6</v>
      </c>
    </row>
    <row r="24" spans="1:12" ht="15.95" customHeight="1">
      <c r="A24" s="197" t="s">
        <v>270</v>
      </c>
      <c r="B24" s="197" t="s">
        <v>271</v>
      </c>
      <c r="C24" s="197" t="s">
        <v>109</v>
      </c>
      <c r="D24" s="201">
        <v>0.02</v>
      </c>
      <c r="E24" s="194"/>
      <c r="F24" s="194"/>
      <c r="G24" s="193"/>
      <c r="H24" s="193"/>
      <c r="I24" s="193"/>
      <c r="J24" s="200" t="str">
        <f>+J23</f>
        <v>ORD. N° 673/22</v>
      </c>
      <c r="K24" s="195">
        <v>526760.01</v>
      </c>
    </row>
    <row r="25" spans="1:12" ht="15.95" customHeight="1">
      <c r="A25" s="197" t="s">
        <v>272</v>
      </c>
      <c r="B25" s="197" t="s">
        <v>242</v>
      </c>
      <c r="C25" s="197" t="s">
        <v>109</v>
      </c>
      <c r="D25" s="198">
        <v>1.2500000000000001E-2</v>
      </c>
      <c r="E25" s="198">
        <f>+E11</f>
        <v>5.0000000000000001E-3</v>
      </c>
      <c r="F25" s="199">
        <v>0.02</v>
      </c>
      <c r="G25" s="193"/>
      <c r="H25" s="193"/>
      <c r="I25" s="193"/>
      <c r="J25" s="200" t="s">
        <v>243</v>
      </c>
      <c r="K25" s="195">
        <v>209958.23</v>
      </c>
    </row>
    <row r="26" spans="1:12" ht="15.95" customHeight="1">
      <c r="A26" s="197" t="s">
        <v>273</v>
      </c>
      <c r="B26" s="197" t="s">
        <v>274</v>
      </c>
      <c r="C26" s="197" t="s">
        <v>109</v>
      </c>
      <c r="D26" s="201">
        <v>0.01</v>
      </c>
      <c r="E26" s="194"/>
      <c r="F26" s="194"/>
      <c r="G26" s="193"/>
      <c r="H26" s="193"/>
      <c r="I26" s="193"/>
      <c r="J26" s="200" t="s">
        <v>243</v>
      </c>
      <c r="K26" s="195">
        <v>254337.01</v>
      </c>
    </row>
    <row r="27" spans="1:12" ht="15.95" customHeight="1">
      <c r="A27" s="197" t="s">
        <v>275</v>
      </c>
      <c r="B27" s="197" t="s">
        <v>276</v>
      </c>
      <c r="C27" s="197" t="s">
        <v>277</v>
      </c>
      <c r="D27" s="198">
        <v>1.2500000000000001E-2</v>
      </c>
      <c r="E27" s="202"/>
      <c r="F27" s="202"/>
      <c r="G27" s="193"/>
      <c r="H27" s="193"/>
      <c r="I27" s="193"/>
      <c r="J27" s="200" t="s">
        <v>278</v>
      </c>
      <c r="K27" s="195">
        <v>259297.3</v>
      </c>
    </row>
    <row r="28" spans="1:12" ht="15.95" customHeight="1">
      <c r="A28" s="197" t="s">
        <v>279</v>
      </c>
      <c r="B28" s="197" t="s">
        <v>280</v>
      </c>
      <c r="C28" s="197" t="s">
        <v>255</v>
      </c>
      <c r="D28" s="201">
        <v>0.02</v>
      </c>
      <c r="E28" s="202">
        <v>0.05</v>
      </c>
      <c r="F28" s="202">
        <v>0.06</v>
      </c>
      <c r="G28" s="193"/>
      <c r="H28" s="193"/>
      <c r="I28" s="193"/>
      <c r="J28" s="200" t="str">
        <f>+J25</f>
        <v>ORD. N° 673/22</v>
      </c>
      <c r="K28" s="195">
        <v>58641.99</v>
      </c>
    </row>
    <row r="29" spans="1:12" ht="15.95" customHeight="1">
      <c r="A29" s="197" t="s">
        <v>281</v>
      </c>
      <c r="B29" s="197" t="s">
        <v>282</v>
      </c>
      <c r="C29" s="197" t="s">
        <v>283</v>
      </c>
      <c r="D29" s="201"/>
      <c r="G29" s="193"/>
      <c r="H29" s="205">
        <v>610</v>
      </c>
      <c r="I29" s="205">
        <v>1220</v>
      </c>
      <c r="J29" s="200" t="str">
        <f>+J28</f>
        <v>ORD. N° 673/22</v>
      </c>
      <c r="K29" s="195">
        <v>1560</v>
      </c>
    </row>
    <row r="30" spans="1:12" ht="15.95" customHeight="1">
      <c r="A30" s="197" t="s">
        <v>284</v>
      </c>
      <c r="B30" s="197" t="s">
        <v>247</v>
      </c>
      <c r="C30" s="197" t="s">
        <v>109</v>
      </c>
      <c r="D30" s="201">
        <v>0.5</v>
      </c>
      <c r="E30" s="208"/>
      <c r="F30" s="208"/>
      <c r="G30" s="193"/>
      <c r="H30" s="193"/>
      <c r="I30" s="193"/>
      <c r="J30" s="200" t="str">
        <f>+J28</f>
        <v>ORD. N° 673/22</v>
      </c>
      <c r="K30" s="195">
        <v>34794.79</v>
      </c>
    </row>
    <row r="31" spans="1:12" ht="15.95" customHeight="1">
      <c r="A31" s="209" t="s">
        <v>191</v>
      </c>
      <c r="B31" s="210"/>
      <c r="C31" s="210"/>
      <c r="D31" s="211"/>
      <c r="E31" s="211"/>
      <c r="F31" s="211"/>
      <c r="G31" s="210"/>
      <c r="H31" s="210"/>
      <c r="I31" s="210"/>
      <c r="J31" s="212"/>
      <c r="K31" s="213">
        <f>SUM(K32:K32)</f>
        <v>0</v>
      </c>
      <c r="L31" s="177"/>
    </row>
    <row r="32" spans="1:12" ht="15.95" customHeight="1">
      <c r="A32" s="214" t="s">
        <v>285</v>
      </c>
      <c r="B32" s="197" t="s">
        <v>286</v>
      </c>
      <c r="C32" s="215" t="s">
        <v>109</v>
      </c>
      <c r="D32" s="216"/>
      <c r="E32" s="216"/>
      <c r="F32" s="216"/>
      <c r="G32" s="217"/>
      <c r="H32" s="217"/>
      <c r="I32" s="217"/>
      <c r="J32" s="218" t="str">
        <f>+J30</f>
        <v>ORD. N° 673/22</v>
      </c>
      <c r="K32" s="219">
        <v>0</v>
      </c>
      <c r="L32" s="177"/>
    </row>
    <row r="33" spans="1:12" ht="15.95" customHeight="1">
      <c r="A33" s="188" t="s">
        <v>179</v>
      </c>
      <c r="B33" s="189"/>
      <c r="C33" s="189"/>
      <c r="D33" s="196"/>
      <c r="E33" s="196"/>
      <c r="F33" s="196"/>
      <c r="G33" s="189"/>
      <c r="H33" s="189"/>
      <c r="I33" s="189"/>
      <c r="J33" s="220"/>
      <c r="K33" s="190">
        <f>SUM(K34:K41)</f>
        <v>2834434.82</v>
      </c>
    </row>
    <row r="34" spans="1:12" ht="15.95" customHeight="1">
      <c r="A34" s="192" t="s">
        <v>287</v>
      </c>
      <c r="B34" s="221" t="s">
        <v>287</v>
      </c>
      <c r="C34" s="222" t="s">
        <v>288</v>
      </c>
      <c r="D34" s="222" t="s">
        <v>289</v>
      </c>
      <c r="E34" s="223"/>
      <c r="F34" s="223"/>
      <c r="G34" s="193"/>
      <c r="H34" s="223">
        <v>310</v>
      </c>
      <c r="I34" s="223">
        <v>1300</v>
      </c>
      <c r="J34" s="200" t="s">
        <v>243</v>
      </c>
      <c r="K34" s="195">
        <v>507344.84</v>
      </c>
    </row>
    <row r="35" spans="1:12" ht="15.95" customHeight="1">
      <c r="A35" s="192" t="s">
        <v>290</v>
      </c>
      <c r="B35" s="221" t="s">
        <v>290</v>
      </c>
      <c r="C35" s="222" t="s">
        <v>291</v>
      </c>
      <c r="D35" s="222" t="s">
        <v>255</v>
      </c>
      <c r="E35" s="194"/>
      <c r="F35" s="194"/>
      <c r="G35" s="193"/>
      <c r="H35" s="224" t="s">
        <v>292</v>
      </c>
      <c r="I35" s="224" t="s">
        <v>293</v>
      </c>
      <c r="J35" s="200" t="s">
        <v>243</v>
      </c>
      <c r="K35" s="195">
        <v>867229</v>
      </c>
    </row>
    <row r="36" spans="1:12" ht="15.95" customHeight="1">
      <c r="A36" s="192" t="s">
        <v>294</v>
      </c>
      <c r="B36" s="221" t="s">
        <v>294</v>
      </c>
      <c r="C36" s="222" t="s">
        <v>295</v>
      </c>
      <c r="D36" s="222" t="s">
        <v>255</v>
      </c>
      <c r="E36" s="194"/>
      <c r="F36" s="194"/>
      <c r="G36" s="193"/>
      <c r="H36" s="225" t="s">
        <v>296</v>
      </c>
      <c r="I36" s="225" t="s">
        <v>297</v>
      </c>
      <c r="J36" s="200" t="s">
        <v>243</v>
      </c>
      <c r="K36" s="195">
        <v>782317.08</v>
      </c>
    </row>
    <row r="37" spans="1:12" ht="15.95" customHeight="1">
      <c r="A37" s="192" t="s">
        <v>298</v>
      </c>
      <c r="B37" s="221" t="s">
        <v>298</v>
      </c>
      <c r="C37" s="222" t="s">
        <v>254</v>
      </c>
      <c r="D37" s="222" t="s">
        <v>299</v>
      </c>
      <c r="E37" s="194"/>
      <c r="F37" s="194"/>
      <c r="G37" s="193"/>
      <c r="H37" s="193"/>
      <c r="I37" s="193"/>
      <c r="J37" s="200" t="s">
        <v>243</v>
      </c>
      <c r="K37" s="195">
        <v>120219.18</v>
      </c>
    </row>
    <row r="38" spans="1:12" ht="15.95" customHeight="1">
      <c r="A38" s="192" t="s">
        <v>300</v>
      </c>
      <c r="B38" s="226" t="s">
        <v>300</v>
      </c>
      <c r="C38" s="227" t="s">
        <v>301</v>
      </c>
      <c r="D38" s="228" t="s">
        <v>299</v>
      </c>
      <c r="E38" s="194"/>
      <c r="F38" s="194"/>
      <c r="G38" s="193"/>
      <c r="H38" s="225" t="s">
        <v>296</v>
      </c>
      <c r="I38" s="225" t="s">
        <v>302</v>
      </c>
      <c r="J38" s="200" t="s">
        <v>243</v>
      </c>
      <c r="K38" s="195">
        <v>386237.28</v>
      </c>
    </row>
    <row r="39" spans="1:12" ht="15.95" customHeight="1">
      <c r="A39" s="192" t="s">
        <v>303</v>
      </c>
      <c r="B39" s="221" t="s">
        <v>303</v>
      </c>
      <c r="C39" s="222" t="s">
        <v>304</v>
      </c>
      <c r="D39" s="222" t="s">
        <v>255</v>
      </c>
      <c r="E39" s="194"/>
      <c r="F39" s="194"/>
      <c r="G39" s="193"/>
      <c r="H39" s="193"/>
      <c r="I39" s="193"/>
      <c r="J39" s="200" t="s">
        <v>243</v>
      </c>
      <c r="K39" s="195">
        <v>42932.44</v>
      </c>
    </row>
    <row r="40" spans="1:12" ht="15.95" customHeight="1">
      <c r="A40" s="192" t="s">
        <v>305</v>
      </c>
      <c r="B40" s="221" t="s">
        <v>306</v>
      </c>
      <c r="C40" s="222" t="s">
        <v>307</v>
      </c>
      <c r="D40" s="222"/>
      <c r="E40" s="194">
        <v>0.05</v>
      </c>
      <c r="F40" s="194">
        <v>0.03</v>
      </c>
      <c r="G40" s="193"/>
      <c r="H40" s="193"/>
      <c r="I40" s="193"/>
      <c r="J40" s="200" t="str">
        <f>+J39</f>
        <v>ORD. N° 673/22</v>
      </c>
      <c r="K40" s="195">
        <v>123355</v>
      </c>
    </row>
    <row r="41" spans="1:12" ht="15.95" customHeight="1">
      <c r="A41" s="192" t="s">
        <v>308</v>
      </c>
      <c r="B41" s="221" t="s">
        <v>308</v>
      </c>
      <c r="C41" s="222" t="s">
        <v>309</v>
      </c>
      <c r="D41" s="222" t="s">
        <v>310</v>
      </c>
      <c r="E41" s="194"/>
      <c r="F41" s="194"/>
      <c r="G41" s="193"/>
      <c r="H41" s="193"/>
      <c r="I41" s="193"/>
      <c r="J41" s="200" t="s">
        <v>243</v>
      </c>
      <c r="K41" s="195">
        <v>4800</v>
      </c>
    </row>
    <row r="42" spans="1:12" s="177" customFormat="1" ht="15.95" customHeight="1">
      <c r="A42" s="188" t="s">
        <v>152</v>
      </c>
      <c r="B42" s="189"/>
      <c r="C42" s="189"/>
      <c r="D42" s="196"/>
      <c r="E42" s="196"/>
      <c r="F42" s="196"/>
      <c r="G42" s="189"/>
      <c r="H42" s="189"/>
      <c r="I42" s="189"/>
      <c r="J42" s="220"/>
      <c r="K42" s="190">
        <f>SUM(K43:K43)</f>
        <v>251651.69</v>
      </c>
      <c r="L42"/>
    </row>
    <row r="43" spans="1:12" s="177" customFormat="1" ht="15.95" customHeight="1">
      <c r="A43" s="192" t="s">
        <v>311</v>
      </c>
      <c r="B43" s="229" t="s">
        <v>312</v>
      </c>
      <c r="C43" s="193"/>
      <c r="D43" s="194"/>
      <c r="E43" s="194"/>
      <c r="F43" s="194"/>
      <c r="G43" s="193"/>
      <c r="H43" s="225" t="s">
        <v>313</v>
      </c>
      <c r="I43" s="225" t="s">
        <v>314</v>
      </c>
      <c r="J43" s="200" t="str">
        <f>+J41</f>
        <v>ORD. N° 673/22</v>
      </c>
      <c r="K43" s="195">
        <v>251651.69</v>
      </c>
      <c r="L43"/>
    </row>
    <row r="44" spans="1:12" ht="15.95" customHeight="1">
      <c r="A44" s="188" t="s">
        <v>151</v>
      </c>
      <c r="B44" s="189"/>
      <c r="C44" s="189"/>
      <c r="D44" s="196"/>
      <c r="E44" s="196"/>
      <c r="F44" s="196"/>
      <c r="G44" s="189"/>
      <c r="H44" s="189"/>
      <c r="I44" s="189"/>
      <c r="J44" s="220"/>
      <c r="K44" s="190">
        <f>SUM(K45:K47)</f>
        <v>3616196.0500000003</v>
      </c>
    </row>
    <row r="45" spans="1:12" ht="15.95" customHeight="1">
      <c r="A45" s="192" t="s">
        <v>315</v>
      </c>
      <c r="B45" s="229" t="s">
        <v>316</v>
      </c>
      <c r="C45" s="230" t="s">
        <v>255</v>
      </c>
      <c r="D45" s="206"/>
      <c r="E45" s="194"/>
      <c r="F45" s="194"/>
      <c r="G45" s="193"/>
      <c r="H45" s="193"/>
      <c r="I45" s="193"/>
      <c r="J45" s="200" t="str">
        <f>+J43</f>
        <v>ORD. N° 673/22</v>
      </c>
      <c r="K45" s="195">
        <v>1316995.1299999999</v>
      </c>
    </row>
    <row r="46" spans="1:12" ht="15.95" customHeight="1">
      <c r="A46" s="192" t="s">
        <v>317</v>
      </c>
      <c r="B46" s="229" t="s">
        <v>274</v>
      </c>
      <c r="C46" s="222" t="s">
        <v>109</v>
      </c>
      <c r="D46" s="201">
        <v>0.01</v>
      </c>
      <c r="E46" s="194"/>
      <c r="F46" s="194"/>
      <c r="G46" s="193"/>
      <c r="H46" s="193"/>
      <c r="I46" s="193"/>
      <c r="J46" s="200" t="str">
        <f>+J45</f>
        <v>ORD. N° 673/22</v>
      </c>
      <c r="K46" s="195">
        <v>2203136.9300000002</v>
      </c>
    </row>
    <row r="47" spans="1:12" ht="15.95" customHeight="1">
      <c r="A47" s="192" t="s">
        <v>318</v>
      </c>
      <c r="B47" s="229" t="s">
        <v>319</v>
      </c>
      <c r="C47" s="222" t="s">
        <v>109</v>
      </c>
      <c r="D47" s="201">
        <v>0.01</v>
      </c>
      <c r="E47" s="194"/>
      <c r="F47" s="194"/>
      <c r="G47" s="193"/>
      <c r="H47" s="193"/>
      <c r="I47" s="193"/>
      <c r="J47" s="200" t="s">
        <v>320</v>
      </c>
      <c r="K47" s="195">
        <v>96063.99</v>
      </c>
    </row>
    <row r="48" spans="1:12" ht="15.95" customHeight="1">
      <c r="A48" s="209" t="s">
        <v>137</v>
      </c>
      <c r="B48" s="210"/>
      <c r="C48" s="210"/>
      <c r="D48" s="211"/>
      <c r="E48" s="211"/>
      <c r="F48" s="211"/>
      <c r="G48" s="210"/>
      <c r="H48" s="210"/>
      <c r="I48" s="210"/>
      <c r="J48" s="212"/>
      <c r="K48" s="213">
        <f>SUM(K49)</f>
        <v>35000</v>
      </c>
      <c r="L48" s="177"/>
    </row>
    <row r="49" spans="1:12" ht="15.95" customHeight="1">
      <c r="A49" s="231" t="s">
        <v>321</v>
      </c>
      <c r="B49" s="229" t="s">
        <v>322</v>
      </c>
      <c r="C49" s="232" t="s">
        <v>299</v>
      </c>
      <c r="D49" s="216"/>
      <c r="E49" s="216"/>
      <c r="F49" s="216"/>
      <c r="G49" s="217"/>
      <c r="H49" s="217"/>
      <c r="I49" s="217"/>
      <c r="J49" s="218" t="str">
        <f>+J46</f>
        <v>ORD. N° 673/22</v>
      </c>
      <c r="K49" s="195">
        <v>35000</v>
      </c>
      <c r="L49" s="177"/>
    </row>
    <row r="50" spans="1:12" ht="15.95" customHeight="1">
      <c r="A50" s="188" t="s">
        <v>136</v>
      </c>
      <c r="B50" s="189"/>
      <c r="C50" s="189"/>
      <c r="D50" s="196"/>
      <c r="E50" s="196"/>
      <c r="F50" s="196"/>
      <c r="G50" s="189"/>
      <c r="H50" s="189"/>
      <c r="I50" s="189"/>
      <c r="J50" s="220"/>
      <c r="K50" s="213">
        <f>SUM(K51)</f>
        <v>9193526.75</v>
      </c>
    </row>
    <row r="51" spans="1:12" ht="15.95" customHeight="1">
      <c r="A51" s="233" t="s">
        <v>323</v>
      </c>
      <c r="B51" s="234" t="s">
        <v>324</v>
      </c>
      <c r="C51" s="235" t="s">
        <v>109</v>
      </c>
      <c r="D51" s="236"/>
      <c r="E51" s="236"/>
      <c r="F51" s="236"/>
      <c r="G51" s="237"/>
      <c r="H51" s="237"/>
      <c r="I51" s="237"/>
      <c r="J51" s="238" t="s">
        <v>325</v>
      </c>
      <c r="K51" s="195">
        <v>9193526.75</v>
      </c>
      <c r="L51" s="239"/>
    </row>
    <row r="52" spans="1:12" ht="15.95" customHeight="1">
      <c r="A52" s="233" t="s">
        <v>326</v>
      </c>
      <c r="B52" s="234" t="s">
        <v>327</v>
      </c>
      <c r="C52" s="235" t="s">
        <v>109</v>
      </c>
      <c r="D52" s="236"/>
      <c r="E52" s="236"/>
      <c r="F52" s="236"/>
      <c r="G52" s="237"/>
      <c r="H52" s="240">
        <v>1941.09</v>
      </c>
      <c r="I52" s="240">
        <v>3138.7</v>
      </c>
      <c r="J52" s="238" t="s">
        <v>328</v>
      </c>
      <c r="K52" s="195">
        <v>475688.26</v>
      </c>
      <c r="L52" s="239"/>
    </row>
    <row r="53" spans="1:12" ht="15.95" customHeight="1">
      <c r="A53" s="241" t="s">
        <v>108</v>
      </c>
      <c r="B53" s="242"/>
      <c r="C53" s="242"/>
      <c r="D53" s="243"/>
      <c r="E53" s="243"/>
      <c r="F53" s="243"/>
      <c r="G53" s="242"/>
      <c r="H53" s="242"/>
      <c r="I53" s="242"/>
      <c r="J53" s="242"/>
      <c r="K53" s="244">
        <f>+K10+K33+K42+K44+K48</f>
        <v>73115959.799999982</v>
      </c>
    </row>
    <row r="54" spans="1:12" ht="15.95" customHeight="1">
      <c r="A54" s="245"/>
      <c r="B54" s="246"/>
      <c r="C54" s="246"/>
      <c r="D54" s="246"/>
      <c r="E54" s="246"/>
      <c r="F54" s="246"/>
      <c r="G54" s="246"/>
      <c r="H54" s="246"/>
      <c r="I54" s="246"/>
      <c r="J54" s="246"/>
      <c r="K54" s="246"/>
    </row>
    <row r="55" spans="1:12" ht="15.95" customHeight="1">
      <c r="A55" t="s">
        <v>329</v>
      </c>
    </row>
    <row r="56" spans="1:12" ht="15.95" customHeight="1">
      <c r="A56" t="s">
        <v>330</v>
      </c>
      <c r="K56" s="191"/>
    </row>
    <row r="57" spans="1:12" ht="15.95" customHeight="1">
      <c r="A57" t="s">
        <v>331</v>
      </c>
    </row>
    <row r="58" spans="1:12" s="177" customFormat="1" ht="15.95" customHeight="1">
      <c r="A58" t="s">
        <v>332</v>
      </c>
      <c r="B58"/>
      <c r="C58"/>
      <c r="D58"/>
      <c r="E58"/>
      <c r="F58"/>
      <c r="G58"/>
      <c r="H58"/>
      <c r="I58"/>
      <c r="J58"/>
      <c r="K58"/>
      <c r="L58"/>
    </row>
    <row r="59" spans="1:12" s="177" customFormat="1" ht="15.95" customHeight="1">
      <c r="A59" t="s">
        <v>333</v>
      </c>
      <c r="B59"/>
      <c r="C59"/>
      <c r="D59"/>
      <c r="E59"/>
      <c r="F59"/>
      <c r="G59"/>
      <c r="H59"/>
      <c r="I59"/>
      <c r="J59"/>
      <c r="K59"/>
      <c r="L59"/>
    </row>
    <row r="60" spans="1:12" ht="15.95" customHeight="1">
      <c r="A60" t="s">
        <v>334</v>
      </c>
    </row>
    <row r="61" spans="1:12" s="239" customFormat="1" ht="15.95" customHeight="1">
      <c r="A61" t="s">
        <v>335</v>
      </c>
      <c r="B61"/>
      <c r="C61"/>
      <c r="D61"/>
      <c r="E61"/>
      <c r="F61"/>
      <c r="G61"/>
      <c r="H61"/>
      <c r="I61"/>
      <c r="J61"/>
      <c r="K61"/>
      <c r="L61"/>
    </row>
    <row r="62" spans="1:12" s="239" customFormat="1" ht="15.95" customHeight="1">
      <c r="A62" t="s">
        <v>336</v>
      </c>
      <c r="B62"/>
      <c r="C62"/>
      <c r="D62"/>
      <c r="E62"/>
      <c r="F62"/>
      <c r="G62"/>
      <c r="H62"/>
      <c r="I62"/>
      <c r="J62"/>
      <c r="K62" s="191"/>
      <c r="L62"/>
    </row>
    <row r="63" spans="1:12" ht="15.95" customHeight="1">
      <c r="A63" t="s">
        <v>337</v>
      </c>
    </row>
    <row r="64" spans="1:12">
      <c r="A64" t="s">
        <v>338</v>
      </c>
    </row>
    <row r="66" spans="1:1">
      <c r="A66" t="s">
        <v>339</v>
      </c>
    </row>
    <row r="68" spans="1:1">
      <c r="A68" t="s">
        <v>340</v>
      </c>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5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N58"/>
  <sheetViews>
    <sheetView workbookViewId="0">
      <pane xSplit="1" ySplit="9" topLeftCell="B10" activePane="bottomRight" state="frozen"/>
      <selection pane="topRight"/>
      <selection pane="bottomLeft"/>
      <selection pane="bottomRight"/>
    </sheetView>
  </sheetViews>
  <sheetFormatPr baseColWidth="10" defaultRowHeight="15"/>
  <cols>
    <col min="1" max="1" width="55.42578125" customWidth="1"/>
    <col min="2" max="2" width="44.5703125" customWidth="1"/>
    <col min="3" max="3" width="34.42578125" customWidth="1"/>
    <col min="4" max="4" width="13.140625" customWidth="1"/>
    <col min="5" max="6" width="17.7109375" customWidth="1"/>
    <col min="7" max="7" width="19.42578125" customWidth="1"/>
    <col min="8" max="9" width="17.7109375" customWidth="1"/>
    <col min="10" max="10" width="31.28515625" customWidth="1"/>
    <col min="11" max="11" width="17.7109375" customWidth="1"/>
    <col min="257" max="257" width="55.42578125" customWidth="1"/>
    <col min="258" max="258" width="44.5703125" customWidth="1"/>
    <col min="259" max="259" width="34.42578125" customWidth="1"/>
    <col min="260" max="260" width="13.140625" customWidth="1"/>
    <col min="261" max="262" width="17.7109375" customWidth="1"/>
    <col min="263" max="263" width="19.42578125" customWidth="1"/>
    <col min="264" max="265" width="17.7109375" customWidth="1"/>
    <col min="266" max="266" width="31.28515625" customWidth="1"/>
    <col min="267" max="267" width="17.7109375" customWidth="1"/>
    <col min="513" max="513" width="55.42578125" customWidth="1"/>
    <col min="514" max="514" width="44.5703125" customWidth="1"/>
    <col min="515" max="515" width="34.42578125" customWidth="1"/>
    <col min="516" max="516" width="13.140625" customWidth="1"/>
    <col min="517" max="518" width="17.7109375" customWidth="1"/>
    <col min="519" max="519" width="19.42578125" customWidth="1"/>
    <col min="520" max="521" width="17.7109375" customWidth="1"/>
    <col min="522" max="522" width="31.28515625" customWidth="1"/>
    <col min="523" max="523" width="17.7109375" customWidth="1"/>
    <col min="769" max="769" width="55.42578125" customWidth="1"/>
    <col min="770" max="770" width="44.5703125" customWidth="1"/>
    <col min="771" max="771" width="34.42578125" customWidth="1"/>
    <col min="772" max="772" width="13.140625" customWidth="1"/>
    <col min="773" max="774" width="17.7109375" customWidth="1"/>
    <col min="775" max="775" width="19.42578125" customWidth="1"/>
    <col min="776" max="777" width="17.7109375" customWidth="1"/>
    <col min="778" max="778" width="31.28515625" customWidth="1"/>
    <col min="779" max="779" width="17.7109375" customWidth="1"/>
    <col min="1025" max="1025" width="55.42578125" customWidth="1"/>
    <col min="1026" max="1026" width="44.5703125" customWidth="1"/>
    <col min="1027" max="1027" width="34.42578125" customWidth="1"/>
    <col min="1028" max="1028" width="13.140625" customWidth="1"/>
    <col min="1029" max="1030" width="17.7109375" customWidth="1"/>
    <col min="1031" max="1031" width="19.42578125" customWidth="1"/>
    <col min="1032" max="1033" width="17.7109375" customWidth="1"/>
    <col min="1034" max="1034" width="31.28515625" customWidth="1"/>
    <col min="1035" max="1035" width="17.7109375" customWidth="1"/>
    <col min="1281" max="1281" width="55.42578125" customWidth="1"/>
    <col min="1282" max="1282" width="44.5703125" customWidth="1"/>
    <col min="1283" max="1283" width="34.42578125" customWidth="1"/>
    <col min="1284" max="1284" width="13.140625" customWidth="1"/>
    <col min="1285" max="1286" width="17.7109375" customWidth="1"/>
    <col min="1287" max="1287" width="19.42578125" customWidth="1"/>
    <col min="1288" max="1289" width="17.7109375" customWidth="1"/>
    <col min="1290" max="1290" width="31.28515625" customWidth="1"/>
    <col min="1291" max="1291" width="17.7109375" customWidth="1"/>
    <col min="1537" max="1537" width="55.42578125" customWidth="1"/>
    <col min="1538" max="1538" width="44.5703125" customWidth="1"/>
    <col min="1539" max="1539" width="34.42578125" customWidth="1"/>
    <col min="1540" max="1540" width="13.140625" customWidth="1"/>
    <col min="1541" max="1542" width="17.7109375" customWidth="1"/>
    <col min="1543" max="1543" width="19.42578125" customWidth="1"/>
    <col min="1544" max="1545" width="17.7109375" customWidth="1"/>
    <col min="1546" max="1546" width="31.28515625" customWidth="1"/>
    <col min="1547" max="1547" width="17.7109375" customWidth="1"/>
    <col min="1793" max="1793" width="55.42578125" customWidth="1"/>
    <col min="1794" max="1794" width="44.5703125" customWidth="1"/>
    <col min="1795" max="1795" width="34.42578125" customWidth="1"/>
    <col min="1796" max="1796" width="13.140625" customWidth="1"/>
    <col min="1797" max="1798" width="17.7109375" customWidth="1"/>
    <col min="1799" max="1799" width="19.42578125" customWidth="1"/>
    <col min="1800" max="1801" width="17.7109375" customWidth="1"/>
    <col min="1802" max="1802" width="31.28515625" customWidth="1"/>
    <col min="1803" max="1803" width="17.7109375" customWidth="1"/>
    <col min="2049" max="2049" width="55.42578125" customWidth="1"/>
    <col min="2050" max="2050" width="44.5703125" customWidth="1"/>
    <col min="2051" max="2051" width="34.42578125" customWidth="1"/>
    <col min="2052" max="2052" width="13.140625" customWidth="1"/>
    <col min="2053" max="2054" width="17.7109375" customWidth="1"/>
    <col min="2055" max="2055" width="19.42578125" customWidth="1"/>
    <col min="2056" max="2057" width="17.7109375" customWidth="1"/>
    <col min="2058" max="2058" width="31.28515625" customWidth="1"/>
    <col min="2059" max="2059" width="17.7109375" customWidth="1"/>
    <col min="2305" max="2305" width="55.42578125" customWidth="1"/>
    <col min="2306" max="2306" width="44.5703125" customWidth="1"/>
    <col min="2307" max="2307" width="34.42578125" customWidth="1"/>
    <col min="2308" max="2308" width="13.140625" customWidth="1"/>
    <col min="2309" max="2310" width="17.7109375" customWidth="1"/>
    <col min="2311" max="2311" width="19.42578125" customWidth="1"/>
    <col min="2312" max="2313" width="17.7109375" customWidth="1"/>
    <col min="2314" max="2314" width="31.28515625" customWidth="1"/>
    <col min="2315" max="2315" width="17.7109375" customWidth="1"/>
    <col min="2561" max="2561" width="55.42578125" customWidth="1"/>
    <col min="2562" max="2562" width="44.5703125" customWidth="1"/>
    <col min="2563" max="2563" width="34.42578125" customWidth="1"/>
    <col min="2564" max="2564" width="13.140625" customWidth="1"/>
    <col min="2565" max="2566" width="17.7109375" customWidth="1"/>
    <col min="2567" max="2567" width="19.42578125" customWidth="1"/>
    <col min="2568" max="2569" width="17.7109375" customWidth="1"/>
    <col min="2570" max="2570" width="31.28515625" customWidth="1"/>
    <col min="2571" max="2571" width="17.7109375" customWidth="1"/>
    <col min="2817" max="2817" width="55.42578125" customWidth="1"/>
    <col min="2818" max="2818" width="44.5703125" customWidth="1"/>
    <col min="2819" max="2819" width="34.42578125" customWidth="1"/>
    <col min="2820" max="2820" width="13.140625" customWidth="1"/>
    <col min="2821" max="2822" width="17.7109375" customWidth="1"/>
    <col min="2823" max="2823" width="19.42578125" customWidth="1"/>
    <col min="2824" max="2825" width="17.7109375" customWidth="1"/>
    <col min="2826" max="2826" width="31.28515625" customWidth="1"/>
    <col min="2827" max="2827" width="17.7109375" customWidth="1"/>
    <col min="3073" max="3073" width="55.42578125" customWidth="1"/>
    <col min="3074" max="3074" width="44.5703125" customWidth="1"/>
    <col min="3075" max="3075" width="34.42578125" customWidth="1"/>
    <col min="3076" max="3076" width="13.140625" customWidth="1"/>
    <col min="3077" max="3078" width="17.7109375" customWidth="1"/>
    <col min="3079" max="3079" width="19.42578125" customWidth="1"/>
    <col min="3080" max="3081" width="17.7109375" customWidth="1"/>
    <col min="3082" max="3082" width="31.28515625" customWidth="1"/>
    <col min="3083" max="3083" width="17.7109375" customWidth="1"/>
    <col min="3329" max="3329" width="55.42578125" customWidth="1"/>
    <col min="3330" max="3330" width="44.5703125" customWidth="1"/>
    <col min="3331" max="3331" width="34.42578125" customWidth="1"/>
    <col min="3332" max="3332" width="13.140625" customWidth="1"/>
    <col min="3333" max="3334" width="17.7109375" customWidth="1"/>
    <col min="3335" max="3335" width="19.42578125" customWidth="1"/>
    <col min="3336" max="3337" width="17.7109375" customWidth="1"/>
    <col min="3338" max="3338" width="31.28515625" customWidth="1"/>
    <col min="3339" max="3339" width="17.7109375" customWidth="1"/>
    <col min="3585" max="3585" width="55.42578125" customWidth="1"/>
    <col min="3586" max="3586" width="44.5703125" customWidth="1"/>
    <col min="3587" max="3587" width="34.42578125" customWidth="1"/>
    <col min="3588" max="3588" width="13.140625" customWidth="1"/>
    <col min="3589" max="3590" width="17.7109375" customWidth="1"/>
    <col min="3591" max="3591" width="19.42578125" customWidth="1"/>
    <col min="3592" max="3593" width="17.7109375" customWidth="1"/>
    <col min="3594" max="3594" width="31.28515625" customWidth="1"/>
    <col min="3595" max="3595" width="17.7109375" customWidth="1"/>
    <col min="3841" max="3841" width="55.42578125" customWidth="1"/>
    <col min="3842" max="3842" width="44.5703125" customWidth="1"/>
    <col min="3843" max="3843" width="34.42578125" customWidth="1"/>
    <col min="3844" max="3844" width="13.140625" customWidth="1"/>
    <col min="3845" max="3846" width="17.7109375" customWidth="1"/>
    <col min="3847" max="3847" width="19.42578125" customWidth="1"/>
    <col min="3848" max="3849" width="17.7109375" customWidth="1"/>
    <col min="3850" max="3850" width="31.28515625" customWidth="1"/>
    <col min="3851" max="3851" width="17.7109375" customWidth="1"/>
    <col min="4097" max="4097" width="55.42578125" customWidth="1"/>
    <col min="4098" max="4098" width="44.5703125" customWidth="1"/>
    <col min="4099" max="4099" width="34.42578125" customWidth="1"/>
    <col min="4100" max="4100" width="13.140625" customWidth="1"/>
    <col min="4101" max="4102" width="17.7109375" customWidth="1"/>
    <col min="4103" max="4103" width="19.42578125" customWidth="1"/>
    <col min="4104" max="4105" width="17.7109375" customWidth="1"/>
    <col min="4106" max="4106" width="31.28515625" customWidth="1"/>
    <col min="4107" max="4107" width="17.7109375" customWidth="1"/>
    <col min="4353" max="4353" width="55.42578125" customWidth="1"/>
    <col min="4354" max="4354" width="44.5703125" customWidth="1"/>
    <col min="4355" max="4355" width="34.42578125" customWidth="1"/>
    <col min="4356" max="4356" width="13.140625" customWidth="1"/>
    <col min="4357" max="4358" width="17.7109375" customWidth="1"/>
    <col min="4359" max="4359" width="19.42578125" customWidth="1"/>
    <col min="4360" max="4361" width="17.7109375" customWidth="1"/>
    <col min="4362" max="4362" width="31.28515625" customWidth="1"/>
    <col min="4363" max="4363" width="17.7109375" customWidth="1"/>
    <col min="4609" max="4609" width="55.42578125" customWidth="1"/>
    <col min="4610" max="4610" width="44.5703125" customWidth="1"/>
    <col min="4611" max="4611" width="34.42578125" customWidth="1"/>
    <col min="4612" max="4612" width="13.140625" customWidth="1"/>
    <col min="4613" max="4614" width="17.7109375" customWidth="1"/>
    <col min="4615" max="4615" width="19.42578125" customWidth="1"/>
    <col min="4616" max="4617" width="17.7109375" customWidth="1"/>
    <col min="4618" max="4618" width="31.28515625" customWidth="1"/>
    <col min="4619" max="4619" width="17.7109375" customWidth="1"/>
    <col min="4865" max="4865" width="55.42578125" customWidth="1"/>
    <col min="4866" max="4866" width="44.5703125" customWidth="1"/>
    <col min="4867" max="4867" width="34.42578125" customWidth="1"/>
    <col min="4868" max="4868" width="13.140625" customWidth="1"/>
    <col min="4869" max="4870" width="17.7109375" customWidth="1"/>
    <col min="4871" max="4871" width="19.42578125" customWidth="1"/>
    <col min="4872" max="4873" width="17.7109375" customWidth="1"/>
    <col min="4874" max="4874" width="31.28515625" customWidth="1"/>
    <col min="4875" max="4875" width="17.7109375" customWidth="1"/>
    <col min="5121" max="5121" width="55.42578125" customWidth="1"/>
    <col min="5122" max="5122" width="44.5703125" customWidth="1"/>
    <col min="5123" max="5123" width="34.42578125" customWidth="1"/>
    <col min="5124" max="5124" width="13.140625" customWidth="1"/>
    <col min="5125" max="5126" width="17.7109375" customWidth="1"/>
    <col min="5127" max="5127" width="19.42578125" customWidth="1"/>
    <col min="5128" max="5129" width="17.7109375" customWidth="1"/>
    <col min="5130" max="5130" width="31.28515625" customWidth="1"/>
    <col min="5131" max="5131" width="17.7109375" customWidth="1"/>
    <col min="5377" max="5377" width="55.42578125" customWidth="1"/>
    <col min="5378" max="5378" width="44.5703125" customWidth="1"/>
    <col min="5379" max="5379" width="34.42578125" customWidth="1"/>
    <col min="5380" max="5380" width="13.140625" customWidth="1"/>
    <col min="5381" max="5382" width="17.7109375" customWidth="1"/>
    <col min="5383" max="5383" width="19.42578125" customWidth="1"/>
    <col min="5384" max="5385" width="17.7109375" customWidth="1"/>
    <col min="5386" max="5386" width="31.28515625" customWidth="1"/>
    <col min="5387" max="5387" width="17.7109375" customWidth="1"/>
    <col min="5633" max="5633" width="55.42578125" customWidth="1"/>
    <col min="5634" max="5634" width="44.5703125" customWidth="1"/>
    <col min="5635" max="5635" width="34.42578125" customWidth="1"/>
    <col min="5636" max="5636" width="13.140625" customWidth="1"/>
    <col min="5637" max="5638" width="17.7109375" customWidth="1"/>
    <col min="5639" max="5639" width="19.42578125" customWidth="1"/>
    <col min="5640" max="5641" width="17.7109375" customWidth="1"/>
    <col min="5642" max="5642" width="31.28515625" customWidth="1"/>
    <col min="5643" max="5643" width="17.7109375" customWidth="1"/>
    <col min="5889" max="5889" width="55.42578125" customWidth="1"/>
    <col min="5890" max="5890" width="44.5703125" customWidth="1"/>
    <col min="5891" max="5891" width="34.42578125" customWidth="1"/>
    <col min="5892" max="5892" width="13.140625" customWidth="1"/>
    <col min="5893" max="5894" width="17.7109375" customWidth="1"/>
    <col min="5895" max="5895" width="19.42578125" customWidth="1"/>
    <col min="5896" max="5897" width="17.7109375" customWidth="1"/>
    <col min="5898" max="5898" width="31.28515625" customWidth="1"/>
    <col min="5899" max="5899" width="17.7109375" customWidth="1"/>
    <col min="6145" max="6145" width="55.42578125" customWidth="1"/>
    <col min="6146" max="6146" width="44.5703125" customWidth="1"/>
    <col min="6147" max="6147" width="34.42578125" customWidth="1"/>
    <col min="6148" max="6148" width="13.140625" customWidth="1"/>
    <col min="6149" max="6150" width="17.7109375" customWidth="1"/>
    <col min="6151" max="6151" width="19.42578125" customWidth="1"/>
    <col min="6152" max="6153" width="17.7109375" customWidth="1"/>
    <col min="6154" max="6154" width="31.28515625" customWidth="1"/>
    <col min="6155" max="6155" width="17.7109375" customWidth="1"/>
    <col min="6401" max="6401" width="55.42578125" customWidth="1"/>
    <col min="6402" max="6402" width="44.5703125" customWidth="1"/>
    <col min="6403" max="6403" width="34.42578125" customWidth="1"/>
    <col min="6404" max="6404" width="13.140625" customWidth="1"/>
    <col min="6405" max="6406" width="17.7109375" customWidth="1"/>
    <col min="6407" max="6407" width="19.42578125" customWidth="1"/>
    <col min="6408" max="6409" width="17.7109375" customWidth="1"/>
    <col min="6410" max="6410" width="31.28515625" customWidth="1"/>
    <col min="6411" max="6411" width="17.7109375" customWidth="1"/>
    <col min="6657" max="6657" width="55.42578125" customWidth="1"/>
    <col min="6658" max="6658" width="44.5703125" customWidth="1"/>
    <col min="6659" max="6659" width="34.42578125" customWidth="1"/>
    <col min="6660" max="6660" width="13.140625" customWidth="1"/>
    <col min="6661" max="6662" width="17.7109375" customWidth="1"/>
    <col min="6663" max="6663" width="19.42578125" customWidth="1"/>
    <col min="6664" max="6665" width="17.7109375" customWidth="1"/>
    <col min="6666" max="6666" width="31.28515625" customWidth="1"/>
    <col min="6667" max="6667" width="17.7109375" customWidth="1"/>
    <col min="6913" max="6913" width="55.42578125" customWidth="1"/>
    <col min="6914" max="6914" width="44.5703125" customWidth="1"/>
    <col min="6915" max="6915" width="34.42578125" customWidth="1"/>
    <col min="6916" max="6916" width="13.140625" customWidth="1"/>
    <col min="6917" max="6918" width="17.7109375" customWidth="1"/>
    <col min="6919" max="6919" width="19.42578125" customWidth="1"/>
    <col min="6920" max="6921" width="17.7109375" customWidth="1"/>
    <col min="6922" max="6922" width="31.28515625" customWidth="1"/>
    <col min="6923" max="6923" width="17.7109375" customWidth="1"/>
    <col min="7169" max="7169" width="55.42578125" customWidth="1"/>
    <col min="7170" max="7170" width="44.5703125" customWidth="1"/>
    <col min="7171" max="7171" width="34.42578125" customWidth="1"/>
    <col min="7172" max="7172" width="13.140625" customWidth="1"/>
    <col min="7173" max="7174" width="17.7109375" customWidth="1"/>
    <col min="7175" max="7175" width="19.42578125" customWidth="1"/>
    <col min="7176" max="7177" width="17.7109375" customWidth="1"/>
    <col min="7178" max="7178" width="31.28515625" customWidth="1"/>
    <col min="7179" max="7179" width="17.7109375" customWidth="1"/>
    <col min="7425" max="7425" width="55.42578125" customWidth="1"/>
    <col min="7426" max="7426" width="44.5703125" customWidth="1"/>
    <col min="7427" max="7427" width="34.42578125" customWidth="1"/>
    <col min="7428" max="7428" width="13.140625" customWidth="1"/>
    <col min="7429" max="7430" width="17.7109375" customWidth="1"/>
    <col min="7431" max="7431" width="19.42578125" customWidth="1"/>
    <col min="7432" max="7433" width="17.7109375" customWidth="1"/>
    <col min="7434" max="7434" width="31.28515625" customWidth="1"/>
    <col min="7435" max="7435" width="17.7109375" customWidth="1"/>
    <col min="7681" max="7681" width="55.42578125" customWidth="1"/>
    <col min="7682" max="7682" width="44.5703125" customWidth="1"/>
    <col min="7683" max="7683" width="34.42578125" customWidth="1"/>
    <col min="7684" max="7684" width="13.140625" customWidth="1"/>
    <col min="7685" max="7686" width="17.7109375" customWidth="1"/>
    <col min="7687" max="7687" width="19.42578125" customWidth="1"/>
    <col min="7688" max="7689" width="17.7109375" customWidth="1"/>
    <col min="7690" max="7690" width="31.28515625" customWidth="1"/>
    <col min="7691" max="7691" width="17.7109375" customWidth="1"/>
    <col min="7937" max="7937" width="55.42578125" customWidth="1"/>
    <col min="7938" max="7938" width="44.5703125" customWidth="1"/>
    <col min="7939" max="7939" width="34.42578125" customWidth="1"/>
    <col min="7940" max="7940" width="13.140625" customWidth="1"/>
    <col min="7941" max="7942" width="17.7109375" customWidth="1"/>
    <col min="7943" max="7943" width="19.42578125" customWidth="1"/>
    <col min="7944" max="7945" width="17.7109375" customWidth="1"/>
    <col min="7946" max="7946" width="31.28515625" customWidth="1"/>
    <col min="7947" max="7947" width="17.7109375" customWidth="1"/>
    <col min="8193" max="8193" width="55.42578125" customWidth="1"/>
    <col min="8194" max="8194" width="44.5703125" customWidth="1"/>
    <col min="8195" max="8195" width="34.42578125" customWidth="1"/>
    <col min="8196" max="8196" width="13.140625" customWidth="1"/>
    <col min="8197" max="8198" width="17.7109375" customWidth="1"/>
    <col min="8199" max="8199" width="19.42578125" customWidth="1"/>
    <col min="8200" max="8201" width="17.7109375" customWidth="1"/>
    <col min="8202" max="8202" width="31.28515625" customWidth="1"/>
    <col min="8203" max="8203" width="17.7109375" customWidth="1"/>
    <col min="8449" max="8449" width="55.42578125" customWidth="1"/>
    <col min="8450" max="8450" width="44.5703125" customWidth="1"/>
    <col min="8451" max="8451" width="34.42578125" customWidth="1"/>
    <col min="8452" max="8452" width="13.140625" customWidth="1"/>
    <col min="8453" max="8454" width="17.7109375" customWidth="1"/>
    <col min="8455" max="8455" width="19.42578125" customWidth="1"/>
    <col min="8456" max="8457" width="17.7109375" customWidth="1"/>
    <col min="8458" max="8458" width="31.28515625" customWidth="1"/>
    <col min="8459" max="8459" width="17.7109375" customWidth="1"/>
    <col min="8705" max="8705" width="55.42578125" customWidth="1"/>
    <col min="8706" max="8706" width="44.5703125" customWidth="1"/>
    <col min="8707" max="8707" width="34.42578125" customWidth="1"/>
    <col min="8708" max="8708" width="13.140625" customWidth="1"/>
    <col min="8709" max="8710" width="17.7109375" customWidth="1"/>
    <col min="8711" max="8711" width="19.42578125" customWidth="1"/>
    <col min="8712" max="8713" width="17.7109375" customWidth="1"/>
    <col min="8714" max="8714" width="31.28515625" customWidth="1"/>
    <col min="8715" max="8715" width="17.7109375" customWidth="1"/>
    <col min="8961" max="8961" width="55.42578125" customWidth="1"/>
    <col min="8962" max="8962" width="44.5703125" customWidth="1"/>
    <col min="8963" max="8963" width="34.42578125" customWidth="1"/>
    <col min="8964" max="8964" width="13.140625" customWidth="1"/>
    <col min="8965" max="8966" width="17.7109375" customWidth="1"/>
    <col min="8967" max="8967" width="19.42578125" customWidth="1"/>
    <col min="8968" max="8969" width="17.7109375" customWidth="1"/>
    <col min="8970" max="8970" width="31.28515625" customWidth="1"/>
    <col min="8971" max="8971" width="17.7109375" customWidth="1"/>
    <col min="9217" max="9217" width="55.42578125" customWidth="1"/>
    <col min="9218" max="9218" width="44.5703125" customWidth="1"/>
    <col min="9219" max="9219" width="34.42578125" customWidth="1"/>
    <col min="9220" max="9220" width="13.140625" customWidth="1"/>
    <col min="9221" max="9222" width="17.7109375" customWidth="1"/>
    <col min="9223" max="9223" width="19.42578125" customWidth="1"/>
    <col min="9224" max="9225" width="17.7109375" customWidth="1"/>
    <col min="9226" max="9226" width="31.28515625" customWidth="1"/>
    <col min="9227" max="9227" width="17.7109375" customWidth="1"/>
    <col min="9473" max="9473" width="55.42578125" customWidth="1"/>
    <col min="9474" max="9474" width="44.5703125" customWidth="1"/>
    <col min="9475" max="9475" width="34.42578125" customWidth="1"/>
    <col min="9476" max="9476" width="13.140625" customWidth="1"/>
    <col min="9477" max="9478" width="17.7109375" customWidth="1"/>
    <col min="9479" max="9479" width="19.42578125" customWidth="1"/>
    <col min="9480" max="9481" width="17.7109375" customWidth="1"/>
    <col min="9482" max="9482" width="31.28515625" customWidth="1"/>
    <col min="9483" max="9483" width="17.7109375" customWidth="1"/>
    <col min="9729" max="9729" width="55.42578125" customWidth="1"/>
    <col min="9730" max="9730" width="44.5703125" customWidth="1"/>
    <col min="9731" max="9731" width="34.42578125" customWidth="1"/>
    <col min="9732" max="9732" width="13.140625" customWidth="1"/>
    <col min="9733" max="9734" width="17.7109375" customWidth="1"/>
    <col min="9735" max="9735" width="19.42578125" customWidth="1"/>
    <col min="9736" max="9737" width="17.7109375" customWidth="1"/>
    <col min="9738" max="9738" width="31.28515625" customWidth="1"/>
    <col min="9739" max="9739" width="17.7109375" customWidth="1"/>
    <col min="9985" max="9985" width="55.42578125" customWidth="1"/>
    <col min="9986" max="9986" width="44.5703125" customWidth="1"/>
    <col min="9987" max="9987" width="34.42578125" customWidth="1"/>
    <col min="9988" max="9988" width="13.140625" customWidth="1"/>
    <col min="9989" max="9990" width="17.7109375" customWidth="1"/>
    <col min="9991" max="9991" width="19.42578125" customWidth="1"/>
    <col min="9992" max="9993" width="17.7109375" customWidth="1"/>
    <col min="9994" max="9994" width="31.28515625" customWidth="1"/>
    <col min="9995" max="9995" width="17.7109375" customWidth="1"/>
    <col min="10241" max="10241" width="55.42578125" customWidth="1"/>
    <col min="10242" max="10242" width="44.5703125" customWidth="1"/>
    <col min="10243" max="10243" width="34.42578125" customWidth="1"/>
    <col min="10244" max="10244" width="13.140625" customWidth="1"/>
    <col min="10245" max="10246" width="17.7109375" customWidth="1"/>
    <col min="10247" max="10247" width="19.42578125" customWidth="1"/>
    <col min="10248" max="10249" width="17.7109375" customWidth="1"/>
    <col min="10250" max="10250" width="31.28515625" customWidth="1"/>
    <col min="10251" max="10251" width="17.7109375" customWidth="1"/>
    <col min="10497" max="10497" width="55.42578125" customWidth="1"/>
    <col min="10498" max="10498" width="44.5703125" customWidth="1"/>
    <col min="10499" max="10499" width="34.42578125" customWidth="1"/>
    <col min="10500" max="10500" width="13.140625" customWidth="1"/>
    <col min="10501" max="10502" width="17.7109375" customWidth="1"/>
    <col min="10503" max="10503" width="19.42578125" customWidth="1"/>
    <col min="10504" max="10505" width="17.7109375" customWidth="1"/>
    <col min="10506" max="10506" width="31.28515625" customWidth="1"/>
    <col min="10507" max="10507" width="17.7109375" customWidth="1"/>
    <col min="10753" max="10753" width="55.42578125" customWidth="1"/>
    <col min="10754" max="10754" width="44.5703125" customWidth="1"/>
    <col min="10755" max="10755" width="34.42578125" customWidth="1"/>
    <col min="10756" max="10756" width="13.140625" customWidth="1"/>
    <col min="10757" max="10758" width="17.7109375" customWidth="1"/>
    <col min="10759" max="10759" width="19.42578125" customWidth="1"/>
    <col min="10760" max="10761" width="17.7109375" customWidth="1"/>
    <col min="10762" max="10762" width="31.28515625" customWidth="1"/>
    <col min="10763" max="10763" width="17.7109375" customWidth="1"/>
    <col min="11009" max="11009" width="55.42578125" customWidth="1"/>
    <col min="11010" max="11010" width="44.5703125" customWidth="1"/>
    <col min="11011" max="11011" width="34.42578125" customWidth="1"/>
    <col min="11012" max="11012" width="13.140625" customWidth="1"/>
    <col min="11013" max="11014" width="17.7109375" customWidth="1"/>
    <col min="11015" max="11015" width="19.42578125" customWidth="1"/>
    <col min="11016" max="11017" width="17.7109375" customWidth="1"/>
    <col min="11018" max="11018" width="31.28515625" customWidth="1"/>
    <col min="11019" max="11019" width="17.7109375" customWidth="1"/>
    <col min="11265" max="11265" width="55.42578125" customWidth="1"/>
    <col min="11266" max="11266" width="44.5703125" customWidth="1"/>
    <col min="11267" max="11267" width="34.42578125" customWidth="1"/>
    <col min="11268" max="11268" width="13.140625" customWidth="1"/>
    <col min="11269" max="11270" width="17.7109375" customWidth="1"/>
    <col min="11271" max="11271" width="19.42578125" customWidth="1"/>
    <col min="11272" max="11273" width="17.7109375" customWidth="1"/>
    <col min="11274" max="11274" width="31.28515625" customWidth="1"/>
    <col min="11275" max="11275" width="17.7109375" customWidth="1"/>
    <col min="11521" max="11521" width="55.42578125" customWidth="1"/>
    <col min="11522" max="11522" width="44.5703125" customWidth="1"/>
    <col min="11523" max="11523" width="34.42578125" customWidth="1"/>
    <col min="11524" max="11524" width="13.140625" customWidth="1"/>
    <col min="11525" max="11526" width="17.7109375" customWidth="1"/>
    <col min="11527" max="11527" width="19.42578125" customWidth="1"/>
    <col min="11528" max="11529" width="17.7109375" customWidth="1"/>
    <col min="11530" max="11530" width="31.28515625" customWidth="1"/>
    <col min="11531" max="11531" width="17.7109375" customWidth="1"/>
    <col min="11777" max="11777" width="55.42578125" customWidth="1"/>
    <col min="11778" max="11778" width="44.5703125" customWidth="1"/>
    <col min="11779" max="11779" width="34.42578125" customWidth="1"/>
    <col min="11780" max="11780" width="13.140625" customWidth="1"/>
    <col min="11781" max="11782" width="17.7109375" customWidth="1"/>
    <col min="11783" max="11783" width="19.42578125" customWidth="1"/>
    <col min="11784" max="11785" width="17.7109375" customWidth="1"/>
    <col min="11786" max="11786" width="31.28515625" customWidth="1"/>
    <col min="11787" max="11787" width="17.7109375" customWidth="1"/>
    <col min="12033" max="12033" width="55.42578125" customWidth="1"/>
    <col min="12034" max="12034" width="44.5703125" customWidth="1"/>
    <col min="12035" max="12035" width="34.42578125" customWidth="1"/>
    <col min="12036" max="12036" width="13.140625" customWidth="1"/>
    <col min="12037" max="12038" width="17.7109375" customWidth="1"/>
    <col min="12039" max="12039" width="19.42578125" customWidth="1"/>
    <col min="12040" max="12041" width="17.7109375" customWidth="1"/>
    <col min="12042" max="12042" width="31.28515625" customWidth="1"/>
    <col min="12043" max="12043" width="17.7109375" customWidth="1"/>
    <col min="12289" max="12289" width="55.42578125" customWidth="1"/>
    <col min="12290" max="12290" width="44.5703125" customWidth="1"/>
    <col min="12291" max="12291" width="34.42578125" customWidth="1"/>
    <col min="12292" max="12292" width="13.140625" customWidth="1"/>
    <col min="12293" max="12294" width="17.7109375" customWidth="1"/>
    <col min="12295" max="12295" width="19.42578125" customWidth="1"/>
    <col min="12296" max="12297" width="17.7109375" customWidth="1"/>
    <col min="12298" max="12298" width="31.28515625" customWidth="1"/>
    <col min="12299" max="12299" width="17.7109375" customWidth="1"/>
    <col min="12545" max="12545" width="55.42578125" customWidth="1"/>
    <col min="12546" max="12546" width="44.5703125" customWidth="1"/>
    <col min="12547" max="12547" width="34.42578125" customWidth="1"/>
    <col min="12548" max="12548" width="13.140625" customWidth="1"/>
    <col min="12549" max="12550" width="17.7109375" customWidth="1"/>
    <col min="12551" max="12551" width="19.42578125" customWidth="1"/>
    <col min="12552" max="12553" width="17.7109375" customWidth="1"/>
    <col min="12554" max="12554" width="31.28515625" customWidth="1"/>
    <col min="12555" max="12555" width="17.7109375" customWidth="1"/>
    <col min="12801" max="12801" width="55.42578125" customWidth="1"/>
    <col min="12802" max="12802" width="44.5703125" customWidth="1"/>
    <col min="12803" max="12803" width="34.42578125" customWidth="1"/>
    <col min="12804" max="12804" width="13.140625" customWidth="1"/>
    <col min="12805" max="12806" width="17.7109375" customWidth="1"/>
    <col min="12807" max="12807" width="19.42578125" customWidth="1"/>
    <col min="12808" max="12809" width="17.7109375" customWidth="1"/>
    <col min="12810" max="12810" width="31.28515625" customWidth="1"/>
    <col min="12811" max="12811" width="17.7109375" customWidth="1"/>
    <col min="13057" max="13057" width="55.42578125" customWidth="1"/>
    <col min="13058" max="13058" width="44.5703125" customWidth="1"/>
    <col min="13059" max="13059" width="34.42578125" customWidth="1"/>
    <col min="13060" max="13060" width="13.140625" customWidth="1"/>
    <col min="13061" max="13062" width="17.7109375" customWidth="1"/>
    <col min="13063" max="13063" width="19.42578125" customWidth="1"/>
    <col min="13064" max="13065" width="17.7109375" customWidth="1"/>
    <col min="13066" max="13066" width="31.28515625" customWidth="1"/>
    <col min="13067" max="13067" width="17.7109375" customWidth="1"/>
    <col min="13313" max="13313" width="55.42578125" customWidth="1"/>
    <col min="13314" max="13314" width="44.5703125" customWidth="1"/>
    <col min="13315" max="13315" width="34.42578125" customWidth="1"/>
    <col min="13316" max="13316" width="13.140625" customWidth="1"/>
    <col min="13317" max="13318" width="17.7109375" customWidth="1"/>
    <col min="13319" max="13319" width="19.42578125" customWidth="1"/>
    <col min="13320" max="13321" width="17.7109375" customWidth="1"/>
    <col min="13322" max="13322" width="31.28515625" customWidth="1"/>
    <col min="13323" max="13323" width="17.7109375" customWidth="1"/>
    <col min="13569" max="13569" width="55.42578125" customWidth="1"/>
    <col min="13570" max="13570" width="44.5703125" customWidth="1"/>
    <col min="13571" max="13571" width="34.42578125" customWidth="1"/>
    <col min="13572" max="13572" width="13.140625" customWidth="1"/>
    <col min="13573" max="13574" width="17.7109375" customWidth="1"/>
    <col min="13575" max="13575" width="19.42578125" customWidth="1"/>
    <col min="13576" max="13577" width="17.7109375" customWidth="1"/>
    <col min="13578" max="13578" width="31.28515625" customWidth="1"/>
    <col min="13579" max="13579" width="17.7109375" customWidth="1"/>
    <col min="13825" max="13825" width="55.42578125" customWidth="1"/>
    <col min="13826" max="13826" width="44.5703125" customWidth="1"/>
    <col min="13827" max="13827" width="34.42578125" customWidth="1"/>
    <col min="13828" max="13828" width="13.140625" customWidth="1"/>
    <col min="13829" max="13830" width="17.7109375" customWidth="1"/>
    <col min="13831" max="13831" width="19.42578125" customWidth="1"/>
    <col min="13832" max="13833" width="17.7109375" customWidth="1"/>
    <col min="13834" max="13834" width="31.28515625" customWidth="1"/>
    <col min="13835" max="13835" width="17.7109375" customWidth="1"/>
    <col min="14081" max="14081" width="55.42578125" customWidth="1"/>
    <col min="14082" max="14082" width="44.5703125" customWidth="1"/>
    <col min="14083" max="14083" width="34.42578125" customWidth="1"/>
    <col min="14084" max="14084" width="13.140625" customWidth="1"/>
    <col min="14085" max="14086" width="17.7109375" customWidth="1"/>
    <col min="14087" max="14087" width="19.42578125" customWidth="1"/>
    <col min="14088" max="14089" width="17.7109375" customWidth="1"/>
    <col min="14090" max="14090" width="31.28515625" customWidth="1"/>
    <col min="14091" max="14091" width="17.7109375" customWidth="1"/>
    <col min="14337" max="14337" width="55.42578125" customWidth="1"/>
    <col min="14338" max="14338" width="44.5703125" customWidth="1"/>
    <col min="14339" max="14339" width="34.42578125" customWidth="1"/>
    <col min="14340" max="14340" width="13.140625" customWidth="1"/>
    <col min="14341" max="14342" width="17.7109375" customWidth="1"/>
    <col min="14343" max="14343" width="19.42578125" customWidth="1"/>
    <col min="14344" max="14345" width="17.7109375" customWidth="1"/>
    <col min="14346" max="14346" width="31.28515625" customWidth="1"/>
    <col min="14347" max="14347" width="17.7109375" customWidth="1"/>
    <col min="14593" max="14593" width="55.42578125" customWidth="1"/>
    <col min="14594" max="14594" width="44.5703125" customWidth="1"/>
    <col min="14595" max="14595" width="34.42578125" customWidth="1"/>
    <col min="14596" max="14596" width="13.140625" customWidth="1"/>
    <col min="14597" max="14598" width="17.7109375" customWidth="1"/>
    <col min="14599" max="14599" width="19.42578125" customWidth="1"/>
    <col min="14600" max="14601" width="17.7109375" customWidth="1"/>
    <col min="14602" max="14602" width="31.28515625" customWidth="1"/>
    <col min="14603" max="14603" width="17.7109375" customWidth="1"/>
    <col min="14849" max="14849" width="55.42578125" customWidth="1"/>
    <col min="14850" max="14850" width="44.5703125" customWidth="1"/>
    <col min="14851" max="14851" width="34.42578125" customWidth="1"/>
    <col min="14852" max="14852" width="13.140625" customWidth="1"/>
    <col min="14853" max="14854" width="17.7109375" customWidth="1"/>
    <col min="14855" max="14855" width="19.42578125" customWidth="1"/>
    <col min="14856" max="14857" width="17.7109375" customWidth="1"/>
    <col min="14858" max="14858" width="31.28515625" customWidth="1"/>
    <col min="14859" max="14859" width="17.7109375" customWidth="1"/>
    <col min="15105" max="15105" width="55.42578125" customWidth="1"/>
    <col min="15106" max="15106" width="44.5703125" customWidth="1"/>
    <col min="15107" max="15107" width="34.42578125" customWidth="1"/>
    <col min="15108" max="15108" width="13.140625" customWidth="1"/>
    <col min="15109" max="15110" width="17.7109375" customWidth="1"/>
    <col min="15111" max="15111" width="19.42578125" customWidth="1"/>
    <col min="15112" max="15113" width="17.7109375" customWidth="1"/>
    <col min="15114" max="15114" width="31.28515625" customWidth="1"/>
    <col min="15115" max="15115" width="17.7109375" customWidth="1"/>
    <col min="15361" max="15361" width="55.42578125" customWidth="1"/>
    <col min="15362" max="15362" width="44.5703125" customWidth="1"/>
    <col min="15363" max="15363" width="34.42578125" customWidth="1"/>
    <col min="15364" max="15364" width="13.140625" customWidth="1"/>
    <col min="15365" max="15366" width="17.7109375" customWidth="1"/>
    <col min="15367" max="15367" width="19.42578125" customWidth="1"/>
    <col min="15368" max="15369" width="17.7109375" customWidth="1"/>
    <col min="15370" max="15370" width="31.28515625" customWidth="1"/>
    <col min="15371" max="15371" width="17.7109375" customWidth="1"/>
    <col min="15617" max="15617" width="55.42578125" customWidth="1"/>
    <col min="15618" max="15618" width="44.5703125" customWidth="1"/>
    <col min="15619" max="15619" width="34.42578125" customWidth="1"/>
    <col min="15620" max="15620" width="13.140625" customWidth="1"/>
    <col min="15621" max="15622" width="17.7109375" customWidth="1"/>
    <col min="15623" max="15623" width="19.42578125" customWidth="1"/>
    <col min="15624" max="15625" width="17.7109375" customWidth="1"/>
    <col min="15626" max="15626" width="31.28515625" customWidth="1"/>
    <col min="15627" max="15627" width="17.7109375" customWidth="1"/>
    <col min="15873" max="15873" width="55.42578125" customWidth="1"/>
    <col min="15874" max="15874" width="44.5703125" customWidth="1"/>
    <col min="15875" max="15875" width="34.42578125" customWidth="1"/>
    <col min="15876" max="15876" width="13.140625" customWidth="1"/>
    <col min="15877" max="15878" width="17.7109375" customWidth="1"/>
    <col min="15879" max="15879" width="19.42578125" customWidth="1"/>
    <col min="15880" max="15881" width="17.7109375" customWidth="1"/>
    <col min="15882" max="15882" width="31.28515625" customWidth="1"/>
    <col min="15883" max="15883" width="17.7109375" customWidth="1"/>
    <col min="16129" max="16129" width="55.42578125" customWidth="1"/>
    <col min="16130" max="16130" width="44.5703125" customWidth="1"/>
    <col min="16131" max="16131" width="34.42578125" customWidth="1"/>
    <col min="16132" max="16132" width="13.140625" customWidth="1"/>
    <col min="16133" max="16134" width="17.7109375" customWidth="1"/>
    <col min="16135" max="16135" width="19.42578125" customWidth="1"/>
    <col min="16136" max="16137" width="17.7109375" customWidth="1"/>
    <col min="16138" max="16138" width="31.28515625" customWidth="1"/>
    <col min="16139" max="16139" width="17.7109375" customWidth="1"/>
  </cols>
  <sheetData>
    <row r="1" spans="1:14" ht="15.75">
      <c r="A1" s="175" t="s">
        <v>235</v>
      </c>
      <c r="B1" s="176"/>
      <c r="C1" s="177"/>
      <c r="D1" s="177"/>
      <c r="E1" s="177"/>
      <c r="F1" s="177"/>
      <c r="G1" s="177"/>
      <c r="H1" s="177"/>
      <c r="I1" s="177"/>
      <c r="J1" s="177"/>
      <c r="K1" s="177"/>
      <c r="L1" s="177"/>
      <c r="M1" s="177"/>
      <c r="N1" s="177"/>
    </row>
    <row r="2" spans="1:14" ht="15.75">
      <c r="A2" s="178" t="s">
        <v>1582</v>
      </c>
      <c r="B2" s="176"/>
      <c r="C2" s="179"/>
      <c r="D2" s="179"/>
      <c r="E2" s="179"/>
      <c r="F2" s="179"/>
      <c r="G2" s="179"/>
      <c r="H2" s="179"/>
      <c r="I2" s="179"/>
      <c r="J2" s="179"/>
      <c r="K2" s="180" t="s">
        <v>234</v>
      </c>
      <c r="L2" s="177"/>
      <c r="M2" s="177"/>
      <c r="N2" s="177"/>
    </row>
    <row r="3" spans="1:14" ht="15.75">
      <c r="A3" s="181" t="s">
        <v>1583</v>
      </c>
      <c r="B3" s="176"/>
      <c r="C3" s="179"/>
      <c r="D3" s="179"/>
      <c r="E3" s="179"/>
      <c r="F3" s="179"/>
      <c r="G3" s="179"/>
      <c r="H3" s="179"/>
      <c r="I3" s="179"/>
      <c r="J3" s="179"/>
      <c r="K3" s="179"/>
      <c r="L3" s="177"/>
      <c r="M3" s="177"/>
      <c r="N3" s="177"/>
    </row>
    <row r="4" spans="1:14" ht="15.75">
      <c r="A4" s="175" t="s">
        <v>232</v>
      </c>
      <c r="B4" s="176"/>
      <c r="C4" s="179"/>
      <c r="D4" s="179"/>
      <c r="E4" s="179"/>
      <c r="F4" s="179"/>
      <c r="G4" s="179"/>
      <c r="H4" s="179"/>
      <c r="I4" s="179"/>
      <c r="J4" s="179"/>
      <c r="K4" s="179"/>
      <c r="L4" s="177"/>
      <c r="M4" s="177"/>
      <c r="N4" s="177"/>
    </row>
    <row r="5" spans="1:14">
      <c r="A5" s="247"/>
      <c r="B5" s="176"/>
      <c r="C5" s="179"/>
      <c r="D5" s="179"/>
      <c r="E5" s="179"/>
      <c r="F5" s="179"/>
      <c r="G5" s="179"/>
      <c r="H5" s="179"/>
      <c r="I5" s="179"/>
      <c r="J5" s="179"/>
      <c r="K5" s="179"/>
      <c r="L5" s="177"/>
      <c r="M5" s="177"/>
      <c r="N5" s="177"/>
    </row>
    <row r="6" spans="1:14">
      <c r="A6" s="184" t="s">
        <v>228</v>
      </c>
      <c r="B6" s="184" t="s">
        <v>227</v>
      </c>
      <c r="C6" s="184" t="s">
        <v>226</v>
      </c>
      <c r="D6" s="184"/>
      <c r="E6" s="183" t="s">
        <v>225</v>
      </c>
      <c r="F6" s="183"/>
      <c r="G6" s="184" t="s">
        <v>224</v>
      </c>
      <c r="H6" s="1381" t="s">
        <v>223</v>
      </c>
      <c r="I6" s="1381"/>
      <c r="J6" s="184" t="s">
        <v>222</v>
      </c>
      <c r="K6" s="184" t="s">
        <v>221</v>
      </c>
      <c r="L6" s="177"/>
      <c r="M6" s="177"/>
      <c r="N6" s="177"/>
    </row>
    <row r="7" spans="1:14" ht="15" customHeight="1">
      <c r="A7" s="1382" t="s">
        <v>220</v>
      </c>
      <c r="B7" s="1379" t="s">
        <v>219</v>
      </c>
      <c r="C7" s="1379" t="s">
        <v>218</v>
      </c>
      <c r="D7" s="1379" t="s">
        <v>217</v>
      </c>
      <c r="E7" s="1379" t="s">
        <v>216</v>
      </c>
      <c r="F7" s="1379"/>
      <c r="G7" s="1379" t="s">
        <v>215</v>
      </c>
      <c r="H7" s="1379" t="s">
        <v>214</v>
      </c>
      <c r="I7" s="1379"/>
      <c r="J7" s="1379" t="s">
        <v>240</v>
      </c>
      <c r="K7" s="1380" t="s">
        <v>212</v>
      </c>
      <c r="L7" s="186"/>
      <c r="M7" s="186"/>
      <c r="N7" s="186"/>
    </row>
    <row r="8" spans="1:14">
      <c r="A8" s="1382"/>
      <c r="B8" s="1379"/>
      <c r="C8" s="1379"/>
      <c r="D8" s="1379"/>
      <c r="E8" s="187" t="s">
        <v>211</v>
      </c>
      <c r="F8" s="187" t="s">
        <v>210</v>
      </c>
      <c r="G8" s="1379"/>
      <c r="H8" s="187" t="s">
        <v>211</v>
      </c>
      <c r="I8" s="187" t="s">
        <v>210</v>
      </c>
      <c r="J8" s="1379"/>
      <c r="K8" s="1380"/>
      <c r="L8" s="186"/>
      <c r="M8" s="186"/>
      <c r="N8" s="186"/>
    </row>
    <row r="9" spans="1:14">
      <c r="A9" s="188" t="s">
        <v>207</v>
      </c>
      <c r="B9" s="189"/>
      <c r="C9" s="189"/>
      <c r="D9" s="196"/>
      <c r="E9" s="196"/>
      <c r="F9" s="196"/>
      <c r="G9" s="189"/>
      <c r="H9" s="189"/>
      <c r="I9" s="189"/>
      <c r="J9" s="189"/>
      <c r="K9" s="190">
        <f>SUM(K10:K17)</f>
        <v>189667776.12000003</v>
      </c>
    </row>
    <row r="10" spans="1:14">
      <c r="A10" s="936" t="s">
        <v>1584</v>
      </c>
      <c r="B10" s="193" t="s">
        <v>1585</v>
      </c>
      <c r="C10" s="193" t="s">
        <v>758</v>
      </c>
      <c r="D10" s="424">
        <v>1.4999999999999999E-2</v>
      </c>
      <c r="E10" s="424">
        <v>3.0000000000000001E-3</v>
      </c>
      <c r="F10" s="194">
        <v>0.1</v>
      </c>
      <c r="G10" s="193"/>
      <c r="H10" s="937"/>
      <c r="I10" s="937"/>
      <c r="J10" s="193" t="s">
        <v>1586</v>
      </c>
      <c r="K10" s="195">
        <v>75928815.230000004</v>
      </c>
    </row>
    <row r="11" spans="1:14">
      <c r="A11" s="936" t="s">
        <v>1587</v>
      </c>
      <c r="B11" s="193" t="s">
        <v>1588</v>
      </c>
      <c r="C11" s="193" t="s">
        <v>758</v>
      </c>
      <c r="D11" s="424">
        <v>8.6900000000000005E-2</v>
      </c>
      <c r="E11" s="194"/>
      <c r="F11" s="194"/>
      <c r="G11" s="193"/>
      <c r="H11" s="193"/>
      <c r="I11" s="193"/>
      <c r="J11" s="193" t="s">
        <v>1586</v>
      </c>
      <c r="K11" s="195">
        <v>52067041.810000002</v>
      </c>
    </row>
    <row r="12" spans="1:14">
      <c r="A12" s="936" t="s">
        <v>1589</v>
      </c>
      <c r="B12" s="193" t="s">
        <v>1590</v>
      </c>
      <c r="C12" s="193" t="s">
        <v>252</v>
      </c>
      <c r="D12" s="194"/>
      <c r="E12" s="557">
        <v>0.25019999999999998</v>
      </c>
      <c r="F12" s="557">
        <v>0.75060000000000004</v>
      </c>
      <c r="G12" s="193"/>
      <c r="H12" s="236"/>
      <c r="I12" s="236"/>
      <c r="J12" s="193" t="s">
        <v>1586</v>
      </c>
      <c r="K12" s="195">
        <v>28208517.440000001</v>
      </c>
    </row>
    <row r="13" spans="1:14">
      <c r="A13" s="936" t="s">
        <v>1591</v>
      </c>
      <c r="B13" s="193" t="s">
        <v>1588</v>
      </c>
      <c r="C13" s="193" t="s">
        <v>758</v>
      </c>
      <c r="D13" s="194"/>
      <c r="E13" s="194">
        <v>0.12</v>
      </c>
      <c r="F13" s="194">
        <v>0.14000000000000001</v>
      </c>
      <c r="G13" s="193"/>
      <c r="H13" s="193"/>
      <c r="I13" s="193"/>
      <c r="J13" s="193" t="s">
        <v>1586</v>
      </c>
      <c r="K13" s="195">
        <v>18620108.800000001</v>
      </c>
    </row>
    <row r="14" spans="1:14">
      <c r="A14" s="936" t="s">
        <v>1592</v>
      </c>
      <c r="B14" s="193" t="s">
        <v>1593</v>
      </c>
      <c r="C14" s="193" t="s">
        <v>1594</v>
      </c>
      <c r="D14" s="194"/>
      <c r="E14" s="194">
        <v>0.05</v>
      </c>
      <c r="F14" s="194">
        <v>0.15</v>
      </c>
      <c r="G14" s="193"/>
      <c r="H14" s="937"/>
      <c r="I14" s="937"/>
      <c r="J14" s="193" t="s">
        <v>1586</v>
      </c>
      <c r="K14" s="195">
        <v>14797453.720000001</v>
      </c>
    </row>
    <row r="15" spans="1:14">
      <c r="A15" s="936" t="s">
        <v>1595</v>
      </c>
      <c r="B15" s="193" t="s">
        <v>1596</v>
      </c>
      <c r="C15" s="193" t="s">
        <v>1597</v>
      </c>
      <c r="D15" s="194"/>
      <c r="E15" s="194">
        <v>0.03</v>
      </c>
      <c r="F15" s="194">
        <v>0.1</v>
      </c>
      <c r="G15" s="193"/>
      <c r="H15" s="938">
        <v>61.24</v>
      </c>
      <c r="I15" s="938">
        <v>7838.72</v>
      </c>
      <c r="J15" s="193" t="s">
        <v>1586</v>
      </c>
      <c r="K15" s="195">
        <v>39193.519999999997</v>
      </c>
    </row>
    <row r="16" spans="1:14">
      <c r="A16" s="936" t="s">
        <v>1598</v>
      </c>
      <c r="B16" s="193" t="s">
        <v>1599</v>
      </c>
      <c r="C16" s="193" t="s">
        <v>1600</v>
      </c>
      <c r="D16" s="194"/>
      <c r="E16" s="194"/>
      <c r="F16" s="194"/>
      <c r="G16" s="193"/>
      <c r="H16" s="193"/>
      <c r="I16" s="193"/>
      <c r="J16" s="193" t="s">
        <v>1586</v>
      </c>
      <c r="K16" s="195">
        <v>5403.6</v>
      </c>
      <c r="L16" t="s">
        <v>1601</v>
      </c>
    </row>
    <row r="17" spans="1:11">
      <c r="A17" s="936" t="s">
        <v>1602</v>
      </c>
      <c r="B17" s="193" t="s">
        <v>1603</v>
      </c>
      <c r="C17" s="193" t="s">
        <v>1604</v>
      </c>
      <c r="D17" s="194"/>
      <c r="E17" s="194"/>
      <c r="F17" s="194"/>
      <c r="G17" s="193"/>
      <c r="H17" s="938">
        <v>24.5</v>
      </c>
      <c r="I17" s="938">
        <v>24496</v>
      </c>
      <c r="J17" s="193" t="s">
        <v>1586</v>
      </c>
      <c r="K17" s="195">
        <v>1242</v>
      </c>
    </row>
    <row r="18" spans="1:11">
      <c r="A18" s="188" t="s">
        <v>179</v>
      </c>
      <c r="B18" s="189"/>
      <c r="C18" s="189"/>
      <c r="D18" s="196"/>
      <c r="E18" s="196"/>
      <c r="F18" s="196"/>
      <c r="G18" s="189"/>
      <c r="H18" s="189"/>
      <c r="I18" s="189"/>
      <c r="J18" s="189"/>
      <c r="K18" s="190">
        <f>SUM(K19:K32)</f>
        <v>43292957.679999992</v>
      </c>
    </row>
    <row r="19" spans="1:11">
      <c r="A19" s="936" t="s">
        <v>1605</v>
      </c>
      <c r="B19" s="193" t="s">
        <v>1606</v>
      </c>
      <c r="C19" s="193" t="s">
        <v>1607</v>
      </c>
      <c r="D19" s="194"/>
      <c r="E19" s="194"/>
      <c r="F19" s="194"/>
      <c r="G19" s="193"/>
      <c r="H19" s="658">
        <v>50</v>
      </c>
      <c r="I19" s="658" t="s">
        <v>1608</v>
      </c>
      <c r="J19" s="193" t="s">
        <v>1586</v>
      </c>
      <c r="K19" s="195">
        <v>27994966.5</v>
      </c>
    </row>
    <row r="20" spans="1:11">
      <c r="A20" s="936" t="s">
        <v>1609</v>
      </c>
      <c r="B20" s="193" t="s">
        <v>1610</v>
      </c>
      <c r="C20" s="193" t="s">
        <v>1122</v>
      </c>
      <c r="D20" s="194"/>
      <c r="E20" s="194"/>
      <c r="F20" s="194"/>
      <c r="G20" s="193"/>
      <c r="H20" s="938">
        <v>350</v>
      </c>
      <c r="I20" s="938">
        <v>1000</v>
      </c>
      <c r="J20" s="193"/>
      <c r="K20" s="195">
        <v>4283313</v>
      </c>
    </row>
    <row r="21" spans="1:11">
      <c r="A21" s="936" t="s">
        <v>1611</v>
      </c>
      <c r="B21" s="237" t="s">
        <v>1612</v>
      </c>
      <c r="C21" s="237" t="s">
        <v>1613</v>
      </c>
      <c r="D21" s="236">
        <v>0.2</v>
      </c>
      <c r="E21" s="236"/>
      <c r="F21" s="236"/>
      <c r="G21" s="237"/>
      <c r="H21" s="237" t="s">
        <v>1614</v>
      </c>
      <c r="I21" s="237" t="s">
        <v>1615</v>
      </c>
      <c r="J21" s="193" t="s">
        <v>1586</v>
      </c>
      <c r="K21" s="261">
        <v>3477368.08</v>
      </c>
    </row>
    <row r="22" spans="1:11">
      <c r="A22" s="936" t="s">
        <v>1616</v>
      </c>
      <c r="B22" s="193" t="s">
        <v>1617</v>
      </c>
      <c r="C22" s="193" t="s">
        <v>1618</v>
      </c>
      <c r="D22" s="194"/>
      <c r="E22" s="194"/>
      <c r="F22" s="194"/>
      <c r="G22" s="193"/>
      <c r="H22" s="938">
        <v>122.48</v>
      </c>
      <c r="I22" s="938">
        <v>3674.4</v>
      </c>
      <c r="J22" s="193" t="s">
        <v>1586</v>
      </c>
      <c r="K22" s="195">
        <v>3016579.73</v>
      </c>
    </row>
    <row r="23" spans="1:11">
      <c r="A23" s="936" t="s">
        <v>1619</v>
      </c>
      <c r="B23" s="193" t="s">
        <v>1620</v>
      </c>
      <c r="C23" s="193" t="s">
        <v>1621</v>
      </c>
      <c r="D23" s="194"/>
      <c r="E23" s="251">
        <v>3.0000000000000001E-3</v>
      </c>
      <c r="F23" s="236">
        <v>0.1</v>
      </c>
      <c r="G23" s="193"/>
      <c r="H23" s="938">
        <v>122.48</v>
      </c>
      <c r="I23" s="938">
        <v>244.96</v>
      </c>
      <c r="J23" s="193" t="s">
        <v>1586</v>
      </c>
      <c r="K23" s="195">
        <v>1166846.02</v>
      </c>
    </row>
    <row r="24" spans="1:11">
      <c r="A24" s="936" t="s">
        <v>1622</v>
      </c>
      <c r="B24" s="193" t="s">
        <v>1623</v>
      </c>
      <c r="C24" s="193" t="s">
        <v>1122</v>
      </c>
      <c r="D24" s="194"/>
      <c r="E24" s="194"/>
      <c r="F24" s="194"/>
      <c r="G24" s="193"/>
      <c r="H24" s="938">
        <v>50</v>
      </c>
      <c r="I24" s="938">
        <v>300</v>
      </c>
      <c r="J24" s="193"/>
      <c r="K24" s="195">
        <v>961250</v>
      </c>
    </row>
    <row r="25" spans="1:11">
      <c r="A25" s="936" t="s">
        <v>1624</v>
      </c>
      <c r="B25" s="193" t="s">
        <v>1625</v>
      </c>
      <c r="C25" s="193" t="s">
        <v>1122</v>
      </c>
      <c r="D25" s="194"/>
      <c r="E25" s="194"/>
      <c r="F25" s="194"/>
      <c r="G25" s="193"/>
      <c r="H25" s="193"/>
      <c r="I25" s="193"/>
      <c r="J25" s="193"/>
      <c r="K25" s="195">
        <v>899000</v>
      </c>
    </row>
    <row r="26" spans="1:11">
      <c r="A26" s="936" t="s">
        <v>1626</v>
      </c>
      <c r="B26" s="193" t="s">
        <v>1627</v>
      </c>
      <c r="C26" s="193" t="s">
        <v>1628</v>
      </c>
      <c r="D26" s="194"/>
      <c r="E26" s="194"/>
      <c r="F26" s="194"/>
      <c r="G26" s="193"/>
      <c r="H26" s="938">
        <v>36.74</v>
      </c>
      <c r="I26" s="938">
        <v>15799.92</v>
      </c>
      <c r="J26" s="193" t="s">
        <v>1586</v>
      </c>
      <c r="K26" s="195">
        <v>659276.15</v>
      </c>
    </row>
    <row r="27" spans="1:11">
      <c r="A27" s="936" t="s">
        <v>1629</v>
      </c>
      <c r="B27" s="193" t="s">
        <v>1630</v>
      </c>
      <c r="C27" s="193" t="s">
        <v>1631</v>
      </c>
      <c r="D27" s="194"/>
      <c r="E27" s="194"/>
      <c r="F27" s="194"/>
      <c r="G27" s="193"/>
      <c r="H27" s="937">
        <v>0.61</v>
      </c>
      <c r="I27" s="938">
        <v>23883.599999999999</v>
      </c>
      <c r="J27" s="193" t="s">
        <v>1586</v>
      </c>
      <c r="K27" s="195">
        <v>588118.76</v>
      </c>
    </row>
    <row r="28" spans="1:11">
      <c r="A28" s="936" t="s">
        <v>1632</v>
      </c>
      <c r="B28" s="193" t="s">
        <v>1623</v>
      </c>
      <c r="C28" s="193" t="s">
        <v>1122</v>
      </c>
      <c r="D28" s="194"/>
      <c r="E28" s="194"/>
      <c r="F28" s="194"/>
      <c r="G28" s="193"/>
      <c r="H28" s="938">
        <v>20</v>
      </c>
      <c r="I28" s="938">
        <v>50</v>
      </c>
      <c r="J28" s="193"/>
      <c r="K28" s="195">
        <v>188060</v>
      </c>
    </row>
    <row r="29" spans="1:11">
      <c r="A29" s="936" t="s">
        <v>1633</v>
      </c>
      <c r="B29" s="193" t="s">
        <v>1634</v>
      </c>
      <c r="C29" s="193" t="s">
        <v>1635</v>
      </c>
      <c r="D29" s="194"/>
      <c r="E29" s="194"/>
      <c r="F29" s="194"/>
      <c r="G29" s="193"/>
      <c r="H29" s="937">
        <v>12.25</v>
      </c>
      <c r="I29" s="938">
        <v>36744</v>
      </c>
      <c r="J29" s="193" t="s">
        <v>1586</v>
      </c>
      <c r="K29" s="195">
        <v>39812</v>
      </c>
    </row>
    <row r="30" spans="1:11">
      <c r="A30" s="936" t="s">
        <v>1636</v>
      </c>
      <c r="B30" s="193" t="s">
        <v>1623</v>
      </c>
      <c r="C30" s="193" t="s">
        <v>1122</v>
      </c>
      <c r="D30" s="194"/>
      <c r="E30" s="194"/>
      <c r="F30" s="194"/>
      <c r="G30" s="193"/>
      <c r="H30" s="193"/>
      <c r="I30" s="938">
        <v>20</v>
      </c>
      <c r="J30" s="193"/>
      <c r="K30" s="195">
        <v>18000</v>
      </c>
    </row>
    <row r="31" spans="1:11">
      <c r="A31" s="936" t="s">
        <v>1637</v>
      </c>
      <c r="B31" s="193" t="s">
        <v>1638</v>
      </c>
      <c r="C31" s="193" t="s">
        <v>1639</v>
      </c>
      <c r="D31" s="194"/>
      <c r="E31" s="194">
        <v>0.02</v>
      </c>
      <c r="F31" s="194">
        <v>0.2</v>
      </c>
      <c r="G31" s="193"/>
      <c r="H31" s="937">
        <v>61.24</v>
      </c>
      <c r="I31" s="937">
        <v>1714.72</v>
      </c>
      <c r="J31" s="193" t="s">
        <v>1586</v>
      </c>
      <c r="K31" s="195">
        <v>367.44</v>
      </c>
    </row>
    <row r="32" spans="1:11">
      <c r="A32" s="936" t="s">
        <v>1640</v>
      </c>
      <c r="B32" s="193" t="s">
        <v>1641</v>
      </c>
      <c r="C32" s="193" t="s">
        <v>758</v>
      </c>
      <c r="D32" s="194"/>
      <c r="E32" s="194"/>
      <c r="F32" s="194"/>
      <c r="G32" s="193"/>
      <c r="H32" s="938">
        <v>300</v>
      </c>
      <c r="I32" s="193"/>
      <c r="J32" s="193"/>
      <c r="K32" s="195">
        <v>0</v>
      </c>
    </row>
    <row r="33" spans="1:12">
      <c r="A33" s="188" t="s">
        <v>151</v>
      </c>
      <c r="B33" s="189"/>
      <c r="C33" s="189"/>
      <c r="D33" s="196"/>
      <c r="E33" s="196"/>
      <c r="F33" s="196"/>
      <c r="G33" s="189"/>
      <c r="H33" s="189"/>
      <c r="I33" s="189"/>
      <c r="J33" s="189"/>
      <c r="K33" s="190">
        <f>SUM(K34:K39)</f>
        <v>7943696.6699999999</v>
      </c>
    </row>
    <row r="34" spans="1:12">
      <c r="A34" s="256" t="s">
        <v>1642</v>
      </c>
      <c r="B34" s="193" t="s">
        <v>1643</v>
      </c>
      <c r="C34" s="193" t="s">
        <v>1122</v>
      </c>
      <c r="D34" s="939">
        <v>6.7000000000000002E-4</v>
      </c>
      <c r="E34" s="194"/>
      <c r="F34" s="194"/>
      <c r="G34" s="193"/>
      <c r="H34" s="193"/>
      <c r="I34" s="193"/>
      <c r="J34" s="193" t="s">
        <v>1586</v>
      </c>
      <c r="K34" s="195">
        <v>3633596.12</v>
      </c>
    </row>
    <row r="35" spans="1:12">
      <c r="A35" s="256" t="s">
        <v>1644</v>
      </c>
      <c r="B35" s="193" t="s">
        <v>1643</v>
      </c>
      <c r="C35" s="193" t="s">
        <v>1645</v>
      </c>
      <c r="D35" s="940"/>
      <c r="E35" s="194"/>
      <c r="F35" s="194"/>
      <c r="G35" s="193"/>
      <c r="H35" s="193"/>
      <c r="I35" s="193"/>
      <c r="J35" s="193" t="s">
        <v>1586</v>
      </c>
      <c r="K35" s="195">
        <v>2799745.9</v>
      </c>
    </row>
    <row r="36" spans="1:12">
      <c r="A36" s="256" t="s">
        <v>1646</v>
      </c>
      <c r="B36" s="193" t="s">
        <v>1647</v>
      </c>
      <c r="C36" s="193" t="s">
        <v>1648</v>
      </c>
      <c r="D36" s="940"/>
      <c r="E36" s="194"/>
      <c r="F36" s="194"/>
      <c r="G36" s="193"/>
      <c r="H36" s="938">
        <v>122.48</v>
      </c>
      <c r="I36" s="938">
        <v>61240</v>
      </c>
      <c r="J36" s="193" t="s">
        <v>1649</v>
      </c>
      <c r="K36" s="195">
        <v>1146866.92</v>
      </c>
      <c r="L36" t="s">
        <v>1650</v>
      </c>
    </row>
    <row r="37" spans="1:12">
      <c r="A37" s="256" t="s">
        <v>1651</v>
      </c>
      <c r="B37" s="193" t="s">
        <v>1652</v>
      </c>
      <c r="C37" s="193" t="s">
        <v>1653</v>
      </c>
      <c r="D37" s="940"/>
      <c r="E37" s="194">
        <v>0.5</v>
      </c>
      <c r="F37" s="194">
        <v>2</v>
      </c>
      <c r="G37" s="193"/>
      <c r="H37" s="193"/>
      <c r="I37" s="193"/>
      <c r="J37" s="193" t="s">
        <v>1586</v>
      </c>
      <c r="K37" s="195">
        <v>236065.03</v>
      </c>
      <c r="L37" t="s">
        <v>1654</v>
      </c>
    </row>
    <row r="38" spans="1:12">
      <c r="A38" s="256" t="s">
        <v>1655</v>
      </c>
      <c r="B38" s="193" t="s">
        <v>1656</v>
      </c>
      <c r="C38" s="193" t="s">
        <v>1657</v>
      </c>
      <c r="D38" s="940"/>
      <c r="E38" s="194">
        <v>0.02</v>
      </c>
      <c r="F38" s="194">
        <v>2.5000000000000001E-2</v>
      </c>
      <c r="G38" s="193"/>
      <c r="H38" s="938">
        <v>500</v>
      </c>
      <c r="I38" s="938">
        <v>3000</v>
      </c>
      <c r="J38" s="193" t="s">
        <v>1658</v>
      </c>
      <c r="K38" s="219">
        <v>127422.7</v>
      </c>
    </row>
    <row r="39" spans="1:12">
      <c r="A39" s="256" t="s">
        <v>1659</v>
      </c>
      <c r="B39" s="193" t="s">
        <v>1647</v>
      </c>
      <c r="C39" s="193" t="s">
        <v>1648</v>
      </c>
      <c r="D39" s="940"/>
      <c r="E39" s="194"/>
      <c r="F39" s="194"/>
      <c r="G39" s="193"/>
      <c r="H39" s="938">
        <v>122.48</v>
      </c>
      <c r="I39" s="938">
        <v>61240</v>
      </c>
      <c r="J39" s="193" t="s">
        <v>1649</v>
      </c>
      <c r="K39" s="195">
        <v>0</v>
      </c>
    </row>
    <row r="40" spans="1:12">
      <c r="A40" s="188" t="s">
        <v>136</v>
      </c>
      <c r="B40" s="189"/>
      <c r="C40" s="189"/>
      <c r="D40" s="196"/>
      <c r="E40" s="196"/>
      <c r="F40" s="196"/>
      <c r="G40" s="189"/>
      <c r="H40" s="189"/>
      <c r="I40" s="189"/>
      <c r="J40" s="189"/>
      <c r="K40" s="190">
        <f>SUM(K41:K49)</f>
        <v>19130086.229999997</v>
      </c>
    </row>
    <row r="41" spans="1:12">
      <c r="A41" s="936" t="s">
        <v>1660</v>
      </c>
      <c r="B41" s="193" t="s">
        <v>1661</v>
      </c>
      <c r="C41" s="193" t="s">
        <v>1662</v>
      </c>
      <c r="D41" s="194">
        <v>0.12</v>
      </c>
      <c r="E41" s="194"/>
      <c r="F41" s="194"/>
      <c r="G41" s="193"/>
      <c r="H41" s="193"/>
      <c r="I41" s="193"/>
      <c r="J41" s="193" t="s">
        <v>1586</v>
      </c>
      <c r="K41" s="195">
        <v>11741455.66</v>
      </c>
    </row>
    <row r="42" spans="1:12">
      <c r="A42" s="936" t="s">
        <v>1663</v>
      </c>
      <c r="B42" s="193" t="s">
        <v>1664</v>
      </c>
      <c r="C42" s="193" t="s">
        <v>1600</v>
      </c>
      <c r="D42" s="194"/>
      <c r="E42" s="194"/>
      <c r="F42" s="194"/>
      <c r="G42" s="193"/>
      <c r="H42" s="193"/>
      <c r="I42" s="193"/>
      <c r="J42" s="193" t="s">
        <v>1665</v>
      </c>
      <c r="K42" s="195">
        <v>1892113.18</v>
      </c>
    </row>
    <row r="43" spans="1:12">
      <c r="A43" s="936" t="s">
        <v>1666</v>
      </c>
      <c r="B43" s="193" t="s">
        <v>1667</v>
      </c>
      <c r="C43" s="193" t="s">
        <v>1668</v>
      </c>
      <c r="D43" s="194"/>
      <c r="E43" s="194"/>
      <c r="F43" s="194"/>
      <c r="G43" s="193"/>
      <c r="H43" s="193"/>
      <c r="I43" s="193"/>
      <c r="J43" s="193" t="s">
        <v>1586</v>
      </c>
      <c r="K43" s="195">
        <v>1585302.86</v>
      </c>
    </row>
    <row r="44" spans="1:12">
      <c r="A44" s="936" t="s">
        <v>1669</v>
      </c>
      <c r="B44" s="193" t="s">
        <v>1670</v>
      </c>
      <c r="C44" s="193" t="s">
        <v>758</v>
      </c>
      <c r="D44" s="194"/>
      <c r="E44" s="194"/>
      <c r="F44" s="194"/>
      <c r="G44" s="193"/>
      <c r="H44" s="193"/>
      <c r="I44" s="193"/>
      <c r="J44" s="193" t="s">
        <v>1671</v>
      </c>
      <c r="K44" s="195">
        <v>1363616.2</v>
      </c>
    </row>
    <row r="45" spans="1:12">
      <c r="A45" s="936" t="s">
        <v>1672</v>
      </c>
      <c r="B45" s="193" t="s">
        <v>1673</v>
      </c>
      <c r="C45" s="193" t="s">
        <v>758</v>
      </c>
      <c r="D45" s="194"/>
      <c r="E45" s="194">
        <v>0.1</v>
      </c>
      <c r="F45" s="194">
        <v>0.15</v>
      </c>
      <c r="G45" s="193"/>
      <c r="H45" s="193"/>
      <c r="I45" s="193"/>
      <c r="J45" s="193" t="s">
        <v>1674</v>
      </c>
      <c r="K45" s="195">
        <v>1086052.8799999999</v>
      </c>
    </row>
    <row r="46" spans="1:12">
      <c r="A46" s="936" t="s">
        <v>1675</v>
      </c>
      <c r="B46" s="193"/>
      <c r="C46" s="193"/>
      <c r="D46" s="194"/>
      <c r="E46" s="194"/>
      <c r="F46" s="194"/>
      <c r="G46" s="193"/>
      <c r="H46" s="193"/>
      <c r="I46" s="193"/>
      <c r="J46" s="193"/>
      <c r="K46" s="195">
        <v>708281.95</v>
      </c>
    </row>
    <row r="47" spans="1:12">
      <c r="A47" s="936" t="s">
        <v>1676</v>
      </c>
      <c r="B47" s="193" t="s">
        <v>1677</v>
      </c>
      <c r="C47" s="193" t="s">
        <v>1613</v>
      </c>
      <c r="D47" s="251">
        <v>1.4999999999999999E-2</v>
      </c>
      <c r="E47" s="194"/>
      <c r="F47" s="194"/>
      <c r="G47" s="193" t="s">
        <v>1678</v>
      </c>
      <c r="H47" s="193"/>
      <c r="I47" s="193"/>
      <c r="J47" s="193" t="s">
        <v>1679</v>
      </c>
      <c r="K47" s="195">
        <v>656691.1</v>
      </c>
    </row>
    <row r="48" spans="1:12">
      <c r="A48" s="936" t="s">
        <v>1680</v>
      </c>
      <c r="B48" s="193" t="s">
        <v>1681</v>
      </c>
      <c r="C48" s="193" t="s">
        <v>758</v>
      </c>
      <c r="D48" s="194"/>
      <c r="E48" s="194"/>
      <c r="F48" s="194"/>
      <c r="G48" s="193" t="s">
        <v>1682</v>
      </c>
      <c r="H48" s="193"/>
      <c r="I48" s="193"/>
      <c r="J48" s="193" t="s">
        <v>1586</v>
      </c>
      <c r="K48" s="195">
        <v>87104.9</v>
      </c>
      <c r="L48" t="s">
        <v>1683</v>
      </c>
    </row>
    <row r="49" spans="1:11">
      <c r="A49" s="936" t="s">
        <v>1684</v>
      </c>
      <c r="B49" s="193" t="s">
        <v>968</v>
      </c>
      <c r="C49" s="193" t="s">
        <v>1685</v>
      </c>
      <c r="D49" s="194"/>
      <c r="E49" s="194"/>
      <c r="F49" s="194"/>
      <c r="G49" s="193"/>
      <c r="H49" s="193" t="s">
        <v>1686</v>
      </c>
      <c r="I49" s="193"/>
      <c r="J49" s="193" t="s">
        <v>1687</v>
      </c>
      <c r="K49" s="195">
        <v>9467.5</v>
      </c>
    </row>
    <row r="50" spans="1:11">
      <c r="A50" s="241" t="s">
        <v>108</v>
      </c>
      <c r="B50" s="242"/>
      <c r="C50" s="242"/>
      <c r="D50" s="243"/>
      <c r="E50" s="243"/>
      <c r="F50" s="243"/>
      <c r="G50" s="242"/>
      <c r="H50" s="242"/>
      <c r="I50" s="242"/>
      <c r="J50" s="242"/>
      <c r="K50" s="276">
        <f>(K9+K18+K33+K40)</f>
        <v>260034516.69999999</v>
      </c>
    </row>
    <row r="51" spans="1:11">
      <c r="A51" s="245"/>
      <c r="B51" s="246"/>
      <c r="C51" s="246"/>
      <c r="D51" s="246"/>
      <c r="E51" s="246"/>
      <c r="F51" s="246"/>
      <c r="G51" s="246"/>
      <c r="H51" s="246"/>
      <c r="I51" s="246"/>
      <c r="J51" s="246"/>
      <c r="K51" s="246"/>
    </row>
    <row r="52" spans="1:11">
      <c r="A52" s="239"/>
      <c r="B52" s="239"/>
      <c r="C52" s="239"/>
      <c r="D52" s="239"/>
      <c r="E52" s="239"/>
      <c r="F52" s="239"/>
      <c r="G52" s="239"/>
      <c r="H52" s="239"/>
      <c r="I52" s="239"/>
      <c r="J52" s="239"/>
    </row>
    <row r="53" spans="1:11">
      <c r="A53" s="239"/>
      <c r="B53" s="239">
        <v>122.48</v>
      </c>
      <c r="C53" s="239"/>
      <c r="D53" s="239"/>
      <c r="E53" s="239"/>
      <c r="F53" s="239"/>
      <c r="G53" s="239"/>
      <c r="H53" s="239"/>
      <c r="I53" s="239"/>
      <c r="J53" s="239"/>
    </row>
    <row r="54" spans="1:11">
      <c r="A54" s="909"/>
      <c r="B54" s="239"/>
      <c r="C54" s="239"/>
      <c r="D54" s="239"/>
      <c r="E54" s="239"/>
      <c r="F54" s="239"/>
      <c r="G54" s="239"/>
      <c r="H54" s="239"/>
      <c r="I54" s="239"/>
      <c r="J54" s="239"/>
      <c r="K54" s="239"/>
    </row>
    <row r="55" spans="1:11">
      <c r="A55" s="239"/>
      <c r="B55" s="239"/>
      <c r="C55" s="239"/>
      <c r="D55" s="239"/>
      <c r="E55" s="239"/>
      <c r="F55" s="239"/>
      <c r="G55" s="239"/>
      <c r="H55" s="239"/>
      <c r="I55" s="239"/>
      <c r="J55" s="239"/>
      <c r="K55" s="239"/>
    </row>
    <row r="56" spans="1:11">
      <c r="A56" s="239"/>
      <c r="B56" s="239"/>
      <c r="C56" s="239"/>
      <c r="D56" s="239"/>
      <c r="E56" s="239"/>
      <c r="F56" s="239"/>
      <c r="G56" s="239"/>
      <c r="H56" s="239"/>
      <c r="I56" s="239"/>
      <c r="J56" s="239"/>
      <c r="K56" s="239"/>
    </row>
    <row r="57" spans="1:11">
      <c r="A57" s="909"/>
      <c r="B57" s="239"/>
      <c r="C57" s="239"/>
      <c r="D57" s="239"/>
      <c r="E57" s="239"/>
      <c r="F57" s="239"/>
      <c r="G57" s="239"/>
      <c r="H57" s="239"/>
      <c r="I57" s="239"/>
      <c r="J57" s="239"/>
      <c r="K57" s="239"/>
    </row>
    <row r="58" spans="1:11">
      <c r="A58" s="239"/>
      <c r="B58" s="239"/>
      <c r="C58" s="239"/>
      <c r="D58" s="239"/>
      <c r="E58" s="239"/>
      <c r="F58" s="239"/>
      <c r="G58" s="239"/>
      <c r="H58" s="239"/>
      <c r="I58" s="239"/>
      <c r="J58" s="239"/>
      <c r="K58" s="239"/>
    </row>
  </sheetData>
  <mergeCells count="10">
    <mergeCell ref="J7:J8"/>
    <mergeCell ref="K7:K8"/>
    <mergeCell ref="H6:I6"/>
    <mergeCell ref="A7:A8"/>
    <mergeCell ref="B7:B8"/>
    <mergeCell ref="C7:C8"/>
    <mergeCell ref="D7:D8"/>
    <mergeCell ref="E7:F7"/>
    <mergeCell ref="G7:G8"/>
    <mergeCell ref="H7:I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pageSetUpPr fitToPage="1"/>
  </sheetPr>
  <dimension ref="A1:K57"/>
  <sheetViews>
    <sheetView showGridLines="0" workbookViewId="0"/>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177" customFormat="1" ht="21" customHeight="1">
      <c r="A1" s="175" t="s">
        <v>235</v>
      </c>
      <c r="B1" s="176"/>
    </row>
    <row r="2" spans="1:11" s="177" customFormat="1" ht="19.5" customHeight="1">
      <c r="A2" s="178" t="s">
        <v>1753</v>
      </c>
      <c r="B2" s="176"/>
      <c r="C2" s="179"/>
      <c r="D2" s="179"/>
      <c r="E2" s="179"/>
      <c r="F2" s="179"/>
      <c r="G2" s="179"/>
      <c r="H2" s="179"/>
      <c r="I2" s="179"/>
      <c r="J2" s="179"/>
      <c r="K2" s="180" t="s">
        <v>234</v>
      </c>
    </row>
    <row r="3" spans="1:11" s="177" customFormat="1" ht="22.5" customHeight="1">
      <c r="A3" s="181" t="s">
        <v>1754</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c r="A6" s="184" t="s">
        <v>228</v>
      </c>
      <c r="B6" s="184" t="s">
        <v>227</v>
      </c>
      <c r="C6" s="184" t="s">
        <v>226</v>
      </c>
      <c r="D6" s="184"/>
      <c r="E6" s="183" t="s">
        <v>225</v>
      </c>
      <c r="F6" s="183"/>
      <c r="G6" s="184" t="s">
        <v>224</v>
      </c>
      <c r="H6" s="1381" t="s">
        <v>223</v>
      </c>
      <c r="I6" s="1381"/>
      <c r="J6" s="184" t="s">
        <v>222</v>
      </c>
      <c r="K6" s="184" t="s">
        <v>221</v>
      </c>
    </row>
    <row r="7" spans="1:11" s="186" customFormat="1">
      <c r="A7" s="1382" t="s">
        <v>220</v>
      </c>
      <c r="B7" s="1379" t="s">
        <v>219</v>
      </c>
      <c r="C7" s="1379" t="s">
        <v>218</v>
      </c>
      <c r="D7" s="1379" t="s">
        <v>217</v>
      </c>
      <c r="E7" s="1379" t="s">
        <v>216</v>
      </c>
      <c r="F7" s="1379"/>
      <c r="G7" s="1379" t="s">
        <v>215</v>
      </c>
      <c r="H7" s="1379" t="s">
        <v>214</v>
      </c>
      <c r="I7" s="1379"/>
      <c r="J7" s="1379" t="s">
        <v>240</v>
      </c>
      <c r="K7" s="1380" t="s">
        <v>212</v>
      </c>
    </row>
    <row r="8" spans="1:11" s="186" customFormat="1">
      <c r="A8" s="1382"/>
      <c r="B8" s="1379"/>
      <c r="C8" s="1379"/>
      <c r="D8" s="1379"/>
      <c r="E8" s="187" t="s">
        <v>211</v>
      </c>
      <c r="F8" s="187" t="s">
        <v>210</v>
      </c>
      <c r="G8" s="1379"/>
      <c r="H8" s="187" t="s">
        <v>211</v>
      </c>
      <c r="I8" s="187" t="s">
        <v>210</v>
      </c>
      <c r="J8" s="1379"/>
      <c r="K8" s="1380"/>
    </row>
    <row r="9" spans="1:11" ht="15.95" customHeight="1">
      <c r="A9" s="188" t="s">
        <v>208</v>
      </c>
      <c r="B9" s="189"/>
      <c r="C9" s="189"/>
      <c r="D9" s="189"/>
      <c r="E9" s="189"/>
      <c r="F9" s="189"/>
      <c r="G9" s="189"/>
      <c r="H9" s="189"/>
      <c r="I9" s="189"/>
      <c r="J9" s="189"/>
      <c r="K9" s="190">
        <f>SUM(K10)</f>
        <v>0</v>
      </c>
    </row>
    <row r="10" spans="1:11" ht="19.5" customHeight="1">
      <c r="A10" s="192"/>
      <c r="B10" s="193"/>
      <c r="C10" s="193"/>
      <c r="D10" s="194"/>
      <c r="E10" s="194"/>
      <c r="F10" s="194"/>
      <c r="G10" s="193"/>
      <c r="H10" s="193"/>
      <c r="I10" s="193"/>
      <c r="J10" s="193"/>
      <c r="K10" s="195"/>
    </row>
    <row r="11" spans="1:11" ht="15.95" customHeight="1">
      <c r="A11" s="188" t="s">
        <v>207</v>
      </c>
      <c r="B11" s="189"/>
      <c r="C11" s="189"/>
      <c r="D11" s="196"/>
      <c r="E11" s="196"/>
      <c r="F11" s="196"/>
      <c r="G11" s="189"/>
      <c r="H11" s="189"/>
      <c r="I11" s="189"/>
      <c r="J11" s="189"/>
      <c r="K11" s="190">
        <f>SUM(K12:K25)</f>
        <v>159763029.20999998</v>
      </c>
    </row>
    <row r="12" spans="1:11" ht="15.95" customHeight="1">
      <c r="A12" s="192" t="s">
        <v>347</v>
      </c>
      <c r="B12" s="950"/>
      <c r="C12" s="193" t="s">
        <v>367</v>
      </c>
      <c r="D12" s="194"/>
      <c r="E12" s="424">
        <v>1E-3</v>
      </c>
      <c r="F12" s="424">
        <v>6.0000000000000001E-3</v>
      </c>
      <c r="G12" s="950"/>
      <c r="H12" s="950"/>
      <c r="I12" s="950"/>
      <c r="J12" s="193" t="s">
        <v>1755</v>
      </c>
      <c r="K12" s="195">
        <v>14715631.5</v>
      </c>
    </row>
    <row r="13" spans="1:11" ht="15.95" customHeight="1">
      <c r="A13" s="192" t="s">
        <v>1756</v>
      </c>
      <c r="B13" s="950"/>
      <c r="C13" s="193" t="s">
        <v>345</v>
      </c>
      <c r="D13" s="194"/>
      <c r="E13" s="424">
        <v>0.01</v>
      </c>
      <c r="F13" s="424">
        <v>9.7500000000000003E-2</v>
      </c>
      <c r="G13" s="950"/>
      <c r="H13" s="950"/>
      <c r="I13" s="950"/>
      <c r="J13" s="193" t="s">
        <v>1755</v>
      </c>
      <c r="K13" s="195">
        <v>96581452.069999993</v>
      </c>
    </row>
    <row r="14" spans="1:11" ht="15.95" customHeight="1">
      <c r="A14" s="192" t="s">
        <v>424</v>
      </c>
      <c r="B14" s="950"/>
      <c r="C14" s="193" t="s">
        <v>367</v>
      </c>
      <c r="D14" s="194"/>
      <c r="E14" s="951">
        <v>2.15E-3</v>
      </c>
      <c r="F14" s="951">
        <v>4.875E-3</v>
      </c>
      <c r="G14" s="950"/>
      <c r="H14" s="950"/>
      <c r="I14" s="950"/>
      <c r="J14" s="193" t="s">
        <v>1755</v>
      </c>
      <c r="K14" s="195">
        <v>14247392.4</v>
      </c>
    </row>
    <row r="15" spans="1:11" ht="15.95" customHeight="1">
      <c r="A15" s="192" t="s">
        <v>1757</v>
      </c>
      <c r="B15" s="950"/>
      <c r="C15" s="193"/>
      <c r="D15" s="194"/>
      <c r="E15" s="424"/>
      <c r="F15" s="424"/>
      <c r="G15" s="950">
        <v>658</v>
      </c>
      <c r="H15" s="950"/>
      <c r="I15" s="950"/>
      <c r="J15" s="193" t="s">
        <v>1755</v>
      </c>
      <c r="K15" s="195">
        <v>91056</v>
      </c>
    </row>
    <row r="16" spans="1:11" ht="15.95" customHeight="1">
      <c r="A16" s="192" t="s">
        <v>1758</v>
      </c>
      <c r="B16" s="950"/>
      <c r="C16" s="193"/>
      <c r="D16" s="194"/>
      <c r="E16" s="424"/>
      <c r="F16" s="424"/>
      <c r="G16" s="950"/>
      <c r="H16" s="950">
        <v>392</v>
      </c>
      <c r="I16" s="950">
        <v>728</v>
      </c>
      <c r="J16" s="193" t="s">
        <v>1755</v>
      </c>
      <c r="K16" s="195">
        <v>0</v>
      </c>
    </row>
    <row r="17" spans="1:11" ht="15.95" customHeight="1">
      <c r="A17" s="192" t="s">
        <v>1759</v>
      </c>
      <c r="B17" s="950"/>
      <c r="C17" s="193"/>
      <c r="D17" s="194"/>
      <c r="E17" s="424"/>
      <c r="F17" s="424"/>
      <c r="G17" s="950"/>
      <c r="H17" s="950">
        <v>238</v>
      </c>
      <c r="I17" s="950">
        <v>2660</v>
      </c>
      <c r="J17" s="193" t="s">
        <v>1755</v>
      </c>
      <c r="K17" s="195">
        <v>24178</v>
      </c>
    </row>
    <row r="18" spans="1:11" ht="15.95" customHeight="1">
      <c r="A18" s="192" t="s">
        <v>1760</v>
      </c>
      <c r="B18" s="950"/>
      <c r="C18" s="193"/>
      <c r="D18" s="194"/>
      <c r="E18" s="424"/>
      <c r="F18" s="424"/>
      <c r="G18" s="950"/>
      <c r="H18" s="950">
        <v>490</v>
      </c>
      <c r="I18" s="950">
        <v>6580</v>
      </c>
      <c r="J18" s="193" t="s">
        <v>1755</v>
      </c>
      <c r="K18" s="195">
        <v>37520</v>
      </c>
    </row>
    <row r="19" spans="1:11" ht="15.95" customHeight="1">
      <c r="A19" s="192" t="s">
        <v>1761</v>
      </c>
      <c r="B19" s="950"/>
      <c r="C19" s="193"/>
      <c r="D19" s="194"/>
      <c r="E19" s="424">
        <v>0.12</v>
      </c>
      <c r="F19" s="424">
        <v>0.2</v>
      </c>
      <c r="G19" s="950"/>
      <c r="H19" s="950"/>
      <c r="I19" s="950"/>
      <c r="J19" s="193" t="s">
        <v>1755</v>
      </c>
      <c r="K19" s="195">
        <v>12730675.630000001</v>
      </c>
    </row>
    <row r="20" spans="1:11" ht="15.95" customHeight="1">
      <c r="A20" s="192" t="s">
        <v>1762</v>
      </c>
      <c r="B20" s="950"/>
      <c r="C20" s="193" t="s">
        <v>352</v>
      </c>
      <c r="D20" s="194"/>
      <c r="E20" s="424"/>
      <c r="F20" s="424"/>
      <c r="G20" s="950"/>
      <c r="H20" s="950">
        <v>700</v>
      </c>
      <c r="I20" s="950">
        <v>7000</v>
      </c>
      <c r="J20" s="193" t="s">
        <v>1755</v>
      </c>
      <c r="K20" s="195">
        <v>3973536.09</v>
      </c>
    </row>
    <row r="21" spans="1:11" ht="15.95" customHeight="1">
      <c r="A21" s="192" t="s">
        <v>1763</v>
      </c>
      <c r="B21" s="950"/>
      <c r="C21" s="193"/>
      <c r="D21" s="194"/>
      <c r="E21" s="424"/>
      <c r="F21" s="424"/>
      <c r="G21" s="950"/>
      <c r="H21" s="950">
        <v>210</v>
      </c>
      <c r="I21" s="950">
        <v>2800</v>
      </c>
      <c r="J21" s="193" t="s">
        <v>1755</v>
      </c>
      <c r="K21" s="195">
        <v>2929046.42</v>
      </c>
    </row>
    <row r="22" spans="1:11" ht="15.95" customHeight="1">
      <c r="A22" s="192" t="s">
        <v>1764</v>
      </c>
      <c r="B22" s="950"/>
      <c r="C22" s="193"/>
      <c r="D22" s="194"/>
      <c r="E22" s="424"/>
      <c r="F22" s="424"/>
      <c r="G22" s="950"/>
      <c r="H22" s="950"/>
      <c r="I22" s="950"/>
      <c r="J22" s="193"/>
      <c r="K22" s="195">
        <v>622976.6</v>
      </c>
    </row>
    <row r="23" spans="1:11" ht="15.95" customHeight="1">
      <c r="A23" s="192" t="s">
        <v>1765</v>
      </c>
      <c r="B23" s="950"/>
      <c r="C23" s="193"/>
      <c r="D23" s="194"/>
      <c r="E23" s="424"/>
      <c r="F23" s="424"/>
      <c r="G23" s="950"/>
      <c r="H23" s="950"/>
      <c r="I23" s="950"/>
      <c r="J23" s="193" t="s">
        <v>1755</v>
      </c>
      <c r="K23" s="195">
        <v>13809564.5</v>
      </c>
    </row>
    <row r="24" spans="1:11" ht="15.95" customHeight="1">
      <c r="A24" s="192" t="s">
        <v>1766</v>
      </c>
      <c r="B24" s="950"/>
      <c r="C24" s="193"/>
      <c r="D24" s="194"/>
      <c r="E24" s="424"/>
      <c r="F24" s="424"/>
      <c r="G24" s="950"/>
      <c r="H24" s="950"/>
      <c r="I24" s="950"/>
      <c r="J24" s="193" t="s">
        <v>1767</v>
      </c>
      <c r="K24" s="195"/>
    </row>
    <row r="25" spans="1:11" ht="15.95" customHeight="1">
      <c r="A25" s="192" t="s">
        <v>1768</v>
      </c>
      <c r="B25" s="950"/>
      <c r="C25" s="193"/>
      <c r="D25" s="194"/>
      <c r="E25" s="424"/>
      <c r="F25" s="424"/>
      <c r="G25" s="950"/>
      <c r="H25" s="950"/>
      <c r="I25" s="950"/>
      <c r="J25" s="193" t="s">
        <v>1769</v>
      </c>
      <c r="K25" s="195"/>
    </row>
    <row r="26" spans="1:11" s="177" customFormat="1" ht="15.95" customHeight="1">
      <c r="A26" s="209" t="s">
        <v>191</v>
      </c>
      <c r="B26" s="952"/>
      <c r="C26" s="210"/>
      <c r="D26" s="211"/>
      <c r="E26" s="211"/>
      <c r="F26" s="211"/>
      <c r="G26" s="210"/>
      <c r="H26" s="210"/>
      <c r="I26" s="210"/>
      <c r="J26" s="210"/>
      <c r="K26" s="213">
        <f>SUM(K27:K28)</f>
        <v>1367255.33</v>
      </c>
    </row>
    <row r="27" spans="1:11" s="177" customFormat="1" ht="15.95" customHeight="1">
      <c r="A27" s="192" t="s">
        <v>1770</v>
      </c>
      <c r="B27" s="953"/>
      <c r="C27" s="217"/>
      <c r="D27" s="216"/>
      <c r="E27" s="216"/>
      <c r="F27" s="216"/>
      <c r="G27" s="217"/>
      <c r="H27" s="217"/>
      <c r="I27" s="217"/>
      <c r="J27" s="217" t="s">
        <v>1771</v>
      </c>
      <c r="K27" s="219">
        <f>204546.86+118466.62</f>
        <v>323013.48</v>
      </c>
    </row>
    <row r="28" spans="1:11" s="177" customFormat="1" ht="15.95" customHeight="1">
      <c r="A28" s="192" t="s">
        <v>1772</v>
      </c>
      <c r="B28" s="953"/>
      <c r="C28" s="217"/>
      <c r="D28" s="216"/>
      <c r="E28" s="216"/>
      <c r="F28" s="216"/>
      <c r="G28" s="217"/>
      <c r="H28" s="217"/>
      <c r="I28" s="217"/>
      <c r="J28" s="217" t="s">
        <v>1771</v>
      </c>
      <c r="K28" s="219">
        <f>7160.75+1037081.1</f>
        <v>1044241.85</v>
      </c>
    </row>
    <row r="29" spans="1:11" s="177" customFormat="1" ht="15.95" customHeight="1">
      <c r="A29" s="192" t="s">
        <v>1773</v>
      </c>
      <c r="B29" s="953"/>
      <c r="C29" s="217"/>
      <c r="D29" s="216"/>
      <c r="E29" s="216"/>
      <c r="F29" s="216"/>
      <c r="G29" s="217"/>
      <c r="H29" s="217"/>
      <c r="I29" s="217"/>
      <c r="J29" s="217" t="s">
        <v>1771</v>
      </c>
      <c r="K29" s="219">
        <f>325515.62+366708.4</f>
        <v>692224.02</v>
      </c>
    </row>
    <row r="30" spans="1:11" ht="15.95" customHeight="1">
      <c r="A30" s="188" t="s">
        <v>179</v>
      </c>
      <c r="B30" s="954"/>
      <c r="C30" s="189"/>
      <c r="D30" s="196"/>
      <c r="E30" s="196"/>
      <c r="F30" s="196"/>
      <c r="G30" s="189"/>
      <c r="H30" s="189"/>
      <c r="I30" s="189"/>
      <c r="J30" s="189"/>
      <c r="K30" s="190">
        <f>SUM(K31:K32)</f>
        <v>521135.97</v>
      </c>
    </row>
    <row r="31" spans="1:11" ht="15.95" customHeight="1">
      <c r="A31" s="192" t="s">
        <v>1774</v>
      </c>
      <c r="B31" s="950"/>
      <c r="C31" s="193"/>
      <c r="D31" s="424">
        <v>5.0000000000000001E-3</v>
      </c>
      <c r="E31" s="194"/>
      <c r="F31" s="194"/>
      <c r="G31" s="193"/>
      <c r="H31" s="193"/>
      <c r="I31" s="193"/>
      <c r="J31" s="193" t="s">
        <v>1755</v>
      </c>
      <c r="K31" s="195">
        <v>260137.92</v>
      </c>
    </row>
    <row r="32" spans="1:11" ht="15.95" customHeight="1">
      <c r="A32" s="192" t="s">
        <v>1775</v>
      </c>
      <c r="B32" s="950"/>
      <c r="C32" s="193"/>
      <c r="D32" s="424"/>
      <c r="E32" s="194"/>
      <c r="F32" s="194"/>
      <c r="G32" s="193"/>
      <c r="H32" s="193"/>
      <c r="I32" s="193"/>
      <c r="J32" s="193" t="s">
        <v>1755</v>
      </c>
      <c r="K32" s="195">
        <v>260998.05</v>
      </c>
    </row>
    <row r="33" spans="1:11" ht="15.95" customHeight="1">
      <c r="A33" s="188" t="s">
        <v>152</v>
      </c>
      <c r="B33" s="954"/>
      <c r="C33" s="189"/>
      <c r="D33" s="196"/>
      <c r="E33" s="196"/>
      <c r="F33" s="196"/>
      <c r="G33" s="189"/>
      <c r="H33" s="189"/>
      <c r="I33" s="189"/>
      <c r="J33" s="189"/>
      <c r="K33" s="190">
        <f>SUM(K34:K36)</f>
        <v>330487</v>
      </c>
    </row>
    <row r="34" spans="1:11" ht="15.95" customHeight="1">
      <c r="A34" s="192" t="s">
        <v>1776</v>
      </c>
      <c r="B34" s="950"/>
      <c r="C34" s="193"/>
      <c r="D34" s="194"/>
      <c r="E34" s="194"/>
      <c r="F34" s="194"/>
      <c r="G34" s="193"/>
      <c r="H34" s="193"/>
      <c r="I34" s="193"/>
      <c r="J34" s="193" t="s">
        <v>516</v>
      </c>
      <c r="K34" s="195">
        <v>203760</v>
      </c>
    </row>
    <row r="35" spans="1:11" ht="15.95" customHeight="1">
      <c r="A35" s="192" t="s">
        <v>1777</v>
      </c>
      <c r="B35" s="950"/>
      <c r="C35" s="193"/>
      <c r="D35" s="194"/>
      <c r="E35" s="194"/>
      <c r="F35" s="194"/>
      <c r="G35" s="193"/>
      <c r="H35" s="193"/>
      <c r="I35" s="193"/>
      <c r="J35" s="193" t="s">
        <v>516</v>
      </c>
      <c r="K35" s="195">
        <v>82627</v>
      </c>
    </row>
    <row r="36" spans="1:11" ht="15.95" customHeight="1">
      <c r="A36" s="192" t="s">
        <v>1778</v>
      </c>
      <c r="B36" s="950"/>
      <c r="C36" s="193"/>
      <c r="D36" s="194"/>
      <c r="E36" s="194"/>
      <c r="F36" s="194"/>
      <c r="G36" s="193"/>
      <c r="H36" s="193"/>
      <c r="I36" s="193"/>
      <c r="J36" s="193" t="s">
        <v>516</v>
      </c>
      <c r="K36" s="195">
        <v>44100</v>
      </c>
    </row>
    <row r="37" spans="1:11" ht="15.95" customHeight="1">
      <c r="A37" s="188" t="s">
        <v>151</v>
      </c>
      <c r="B37" s="954"/>
      <c r="C37" s="189"/>
      <c r="D37" s="196"/>
      <c r="E37" s="196"/>
      <c r="F37" s="196"/>
      <c r="G37" s="189"/>
      <c r="H37" s="189"/>
      <c r="I37" s="189"/>
      <c r="J37" s="189"/>
      <c r="K37" s="190">
        <f>SUM(K38:K39)</f>
        <v>504618.28</v>
      </c>
    </row>
    <row r="38" spans="1:11" ht="15.95" customHeight="1">
      <c r="A38" s="192" t="s">
        <v>1779</v>
      </c>
      <c r="B38" s="950"/>
      <c r="C38" s="193"/>
      <c r="D38" s="194"/>
      <c r="E38" s="194"/>
      <c r="F38" s="194"/>
      <c r="G38" s="193"/>
      <c r="H38" s="193"/>
      <c r="I38" s="193"/>
      <c r="J38" s="193" t="s">
        <v>1780</v>
      </c>
      <c r="K38" s="195">
        <v>144120.92000000001</v>
      </c>
    </row>
    <row r="39" spans="1:11" ht="15.95" customHeight="1">
      <c r="A39" s="192" t="s">
        <v>1781</v>
      </c>
      <c r="B39" s="950"/>
      <c r="C39" s="193"/>
      <c r="D39" s="194"/>
      <c r="E39" s="194"/>
      <c r="F39" s="194"/>
      <c r="G39" s="193"/>
      <c r="H39" s="193"/>
      <c r="I39" s="193"/>
      <c r="J39" s="193"/>
      <c r="K39" s="195">
        <v>360497.36</v>
      </c>
    </row>
    <row r="40" spans="1:11" s="177" customFormat="1" ht="15.95" customHeight="1">
      <c r="A40" s="209" t="s">
        <v>1782</v>
      </c>
      <c r="B40" s="952"/>
      <c r="C40" s="210"/>
      <c r="D40" s="211"/>
      <c r="E40" s="211"/>
      <c r="F40" s="211"/>
      <c r="G40" s="210"/>
      <c r="H40" s="210"/>
      <c r="I40" s="210"/>
      <c r="J40" s="210"/>
      <c r="K40" s="213">
        <f>SUM(K41)</f>
        <v>9841602.6400000006</v>
      </c>
    </row>
    <row r="41" spans="1:11" s="177" customFormat="1" ht="15.95" customHeight="1">
      <c r="A41" s="231" t="s">
        <v>1783</v>
      </c>
      <c r="B41" s="953"/>
      <c r="C41" s="217"/>
      <c r="D41" s="216"/>
      <c r="E41" s="216"/>
      <c r="F41" s="216"/>
      <c r="G41" s="217"/>
      <c r="H41" s="217"/>
      <c r="I41" s="217"/>
      <c r="J41" s="217" t="s">
        <v>1771</v>
      </c>
      <c r="K41" s="219">
        <v>9841602.6400000006</v>
      </c>
    </row>
    <row r="42" spans="1:11" s="177" customFormat="1" ht="15.95" customHeight="1">
      <c r="A42" s="231" t="s">
        <v>1784</v>
      </c>
      <c r="B42" s="953"/>
      <c r="C42" s="217"/>
      <c r="D42" s="216"/>
      <c r="E42" s="216"/>
      <c r="F42" s="216"/>
      <c r="G42" s="217"/>
      <c r="H42" s="217"/>
      <c r="I42" s="217"/>
      <c r="J42" s="217" t="s">
        <v>1771</v>
      </c>
      <c r="K42" s="219"/>
    </row>
    <row r="43" spans="1:11" ht="15.95" customHeight="1">
      <c r="A43" s="188" t="s">
        <v>136</v>
      </c>
      <c r="B43" s="954"/>
      <c r="C43" s="189"/>
      <c r="D43" s="196"/>
      <c r="E43" s="196"/>
      <c r="F43" s="196"/>
      <c r="G43" s="189"/>
      <c r="H43" s="189"/>
      <c r="I43" s="189"/>
      <c r="J43" s="189"/>
      <c r="K43" s="190">
        <f>SUM(K44)</f>
        <v>599729.32999999996</v>
      </c>
    </row>
    <row r="44" spans="1:11" ht="15.95" customHeight="1">
      <c r="A44" s="192" t="s">
        <v>1045</v>
      </c>
      <c r="B44" s="950"/>
      <c r="C44" s="193"/>
      <c r="D44" s="194"/>
      <c r="E44" s="194"/>
      <c r="F44" s="194"/>
      <c r="G44" s="193"/>
      <c r="H44" s="193"/>
      <c r="I44" s="193"/>
      <c r="J44" s="193" t="s">
        <v>1771</v>
      </c>
      <c r="K44" s="195">
        <v>599729.32999999996</v>
      </c>
    </row>
    <row r="45" spans="1:11" ht="15.95" customHeight="1">
      <c r="A45" s="192" t="s">
        <v>1785</v>
      </c>
      <c r="B45" s="950"/>
      <c r="C45" s="193"/>
      <c r="D45" s="194"/>
      <c r="E45" s="194"/>
      <c r="F45" s="194"/>
      <c r="G45" s="193"/>
      <c r="H45" s="193"/>
      <c r="I45" s="193"/>
      <c r="J45" s="193" t="s">
        <v>1771</v>
      </c>
      <c r="K45" s="195">
        <v>0</v>
      </c>
    </row>
    <row r="46" spans="1:11" ht="15.95" customHeight="1">
      <c r="A46" s="188" t="s">
        <v>1786</v>
      </c>
      <c r="B46" s="954"/>
      <c r="C46" s="189"/>
      <c r="D46" s="196"/>
      <c r="E46" s="196"/>
      <c r="F46" s="196"/>
      <c r="G46" s="189"/>
      <c r="H46" s="189"/>
      <c r="I46" s="189"/>
      <c r="J46" s="189"/>
      <c r="K46" s="190"/>
    </row>
    <row r="47" spans="1:11" ht="15.95" customHeight="1">
      <c r="A47" s="233" t="s">
        <v>1787</v>
      </c>
      <c r="B47" s="950"/>
      <c r="C47" s="193"/>
      <c r="D47" s="194"/>
      <c r="E47" s="194"/>
      <c r="F47" s="194"/>
      <c r="G47" s="193"/>
      <c r="H47" s="193"/>
      <c r="I47" s="193"/>
      <c r="J47" s="193"/>
      <c r="K47" s="195">
        <v>2117848</v>
      </c>
    </row>
    <row r="48" spans="1:11" ht="15.95" customHeight="1">
      <c r="A48" s="188" t="s">
        <v>1788</v>
      </c>
      <c r="B48" s="954"/>
      <c r="C48" s="189"/>
      <c r="D48" s="196"/>
      <c r="E48" s="196"/>
      <c r="F48" s="196"/>
      <c r="G48" s="189"/>
      <c r="H48" s="189"/>
      <c r="I48" s="189"/>
      <c r="J48" s="189"/>
      <c r="K48" s="190"/>
    </row>
    <row r="49" spans="1:11" ht="15.95" customHeight="1">
      <c r="A49" s="233" t="s">
        <v>1789</v>
      </c>
      <c r="B49" s="950"/>
      <c r="C49" s="193"/>
      <c r="D49" s="194"/>
      <c r="E49" s="194"/>
      <c r="F49" s="194"/>
      <c r="G49" s="193"/>
      <c r="H49" s="193"/>
      <c r="I49" s="193"/>
      <c r="J49" s="193"/>
      <c r="K49" s="195">
        <v>106070</v>
      </c>
    </row>
    <row r="50" spans="1:11" ht="15.95" customHeight="1">
      <c r="A50" s="233" t="s">
        <v>1790</v>
      </c>
      <c r="B50" s="950"/>
      <c r="C50" s="193"/>
      <c r="D50" s="194"/>
      <c r="E50" s="194"/>
      <c r="F50" s="194"/>
      <c r="G50" s="193"/>
      <c r="H50" s="193"/>
      <c r="I50" s="193"/>
      <c r="J50" s="193"/>
      <c r="K50" s="195">
        <v>257887.34</v>
      </c>
    </row>
    <row r="51" spans="1:11" ht="15.95" customHeight="1">
      <c r="A51" s="233" t="s">
        <v>1791</v>
      </c>
      <c r="B51" s="950"/>
      <c r="C51" s="193"/>
      <c r="D51" s="194"/>
      <c r="E51" s="194"/>
      <c r="F51" s="194"/>
      <c r="G51" s="193"/>
      <c r="H51" s="193"/>
      <c r="I51" s="193"/>
      <c r="J51" s="193"/>
      <c r="K51" s="195">
        <v>26746</v>
      </c>
    </row>
    <row r="52" spans="1:11" ht="15.95" customHeight="1">
      <c r="A52" s="233" t="s">
        <v>1792</v>
      </c>
      <c r="B52" s="950"/>
      <c r="C52" s="193"/>
      <c r="D52" s="194"/>
      <c r="E52" s="194"/>
      <c r="F52" s="194"/>
      <c r="G52" s="193"/>
      <c r="H52" s="193"/>
      <c r="I52" s="193"/>
      <c r="J52" s="193" t="s">
        <v>1780</v>
      </c>
      <c r="K52" s="195">
        <v>11294829.060000001</v>
      </c>
    </row>
    <row r="53" spans="1:11" ht="15.95" customHeight="1">
      <c r="A53" s="955" t="s">
        <v>1793</v>
      </c>
      <c r="B53" s="954"/>
      <c r="C53" s="189"/>
      <c r="D53" s="196"/>
      <c r="E53" s="196"/>
      <c r="F53" s="196"/>
      <c r="G53" s="189"/>
      <c r="H53" s="189"/>
      <c r="I53" s="189"/>
      <c r="J53" s="189"/>
      <c r="K53" s="190"/>
    </row>
    <row r="54" spans="1:11" ht="15.95" customHeight="1">
      <c r="A54" s="233" t="s">
        <v>1794</v>
      </c>
      <c r="B54" s="950"/>
      <c r="C54" s="193"/>
      <c r="D54" s="194"/>
      <c r="E54" s="194"/>
      <c r="F54" s="194"/>
      <c r="G54" s="193"/>
      <c r="H54" s="193"/>
      <c r="I54" s="193"/>
      <c r="J54" s="193"/>
      <c r="K54" s="195">
        <v>28597.84</v>
      </c>
    </row>
    <row r="55" spans="1:11" ht="15.95" customHeight="1">
      <c r="A55" s="233" t="s">
        <v>1795</v>
      </c>
      <c r="B55" s="950"/>
      <c r="C55" s="193"/>
      <c r="D55" s="194"/>
      <c r="E55" s="194"/>
      <c r="F55" s="194"/>
      <c r="G55" s="193"/>
      <c r="H55" s="193"/>
      <c r="I55" s="193"/>
      <c r="J55" s="193"/>
      <c r="K55" s="195">
        <v>2843.45</v>
      </c>
    </row>
    <row r="56" spans="1:11" ht="15.95" customHeight="1">
      <c r="A56" s="241" t="s">
        <v>108</v>
      </c>
      <c r="B56" s="908"/>
      <c r="C56" s="242"/>
      <c r="D56" s="243"/>
      <c r="E56" s="243"/>
      <c r="F56" s="243"/>
      <c r="G56" s="242"/>
      <c r="H56" s="242"/>
      <c r="I56" s="242"/>
      <c r="J56" s="242"/>
      <c r="K56" s="276">
        <f>+K9+K11+K26+K30+K33+K37+K40+K43</f>
        <v>172927857.76000002</v>
      </c>
    </row>
    <row r="57" spans="1:11">
      <c r="A57" s="245"/>
      <c r="B57" s="246"/>
      <c r="C57" s="246"/>
      <c r="D57" s="246"/>
      <c r="E57" s="246"/>
      <c r="F57" s="246"/>
      <c r="G57" s="246"/>
      <c r="H57" s="246"/>
      <c r="I57" s="246"/>
      <c r="J57" s="246"/>
      <c r="K57" s="246"/>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M46"/>
  <sheetViews>
    <sheetView showGridLines="0" zoomScaleNormal="100" workbookViewId="0"/>
  </sheetViews>
  <sheetFormatPr baseColWidth="10" defaultRowHeight="15"/>
  <cols>
    <col min="1" max="1" width="64.28515625" customWidth="1"/>
    <col min="2" max="4" width="17.7109375" customWidth="1"/>
    <col min="5" max="5" width="16.140625" customWidth="1"/>
    <col min="6" max="6" width="17.7109375" customWidth="1"/>
    <col min="7" max="7" width="16.28515625" customWidth="1"/>
    <col min="8" max="11" width="17.7109375" customWidth="1"/>
    <col min="12" max="12" width="1.28515625" customWidth="1"/>
    <col min="13" max="13" width="15.140625" bestFit="1" customWidth="1"/>
    <col min="257" max="257" width="64.28515625" customWidth="1"/>
    <col min="258" max="260" width="17.7109375" customWidth="1"/>
    <col min="261" max="261" width="16.140625" customWidth="1"/>
    <col min="262" max="262" width="17.7109375" customWidth="1"/>
    <col min="263" max="263" width="16.28515625" customWidth="1"/>
    <col min="264" max="267" width="17.7109375" customWidth="1"/>
    <col min="268" max="268" width="1.28515625" customWidth="1"/>
    <col min="269" max="269" width="15.140625" bestFit="1" customWidth="1"/>
    <col min="513" max="513" width="64.28515625" customWidth="1"/>
    <col min="514" max="516" width="17.7109375" customWidth="1"/>
    <col min="517" max="517" width="16.140625" customWidth="1"/>
    <col min="518" max="518" width="17.7109375" customWidth="1"/>
    <col min="519" max="519" width="16.28515625" customWidth="1"/>
    <col min="520" max="523" width="17.7109375" customWidth="1"/>
    <col min="524" max="524" width="1.28515625" customWidth="1"/>
    <col min="525" max="525" width="15.140625" bestFit="1" customWidth="1"/>
    <col min="769" max="769" width="64.28515625" customWidth="1"/>
    <col min="770" max="772" width="17.7109375" customWidth="1"/>
    <col min="773" max="773" width="16.140625" customWidth="1"/>
    <col min="774" max="774" width="17.7109375" customWidth="1"/>
    <col min="775" max="775" width="16.28515625" customWidth="1"/>
    <col min="776" max="779" width="17.7109375" customWidth="1"/>
    <col min="780" max="780" width="1.28515625" customWidth="1"/>
    <col min="781" max="781" width="15.140625" bestFit="1" customWidth="1"/>
    <col min="1025" max="1025" width="64.28515625" customWidth="1"/>
    <col min="1026" max="1028" width="17.7109375" customWidth="1"/>
    <col min="1029" max="1029" width="16.140625" customWidth="1"/>
    <col min="1030" max="1030" width="17.7109375" customWidth="1"/>
    <col min="1031" max="1031" width="16.28515625" customWidth="1"/>
    <col min="1032" max="1035" width="17.7109375" customWidth="1"/>
    <col min="1036" max="1036" width="1.28515625" customWidth="1"/>
    <col min="1037" max="1037" width="15.140625" bestFit="1" customWidth="1"/>
    <col min="1281" max="1281" width="64.28515625" customWidth="1"/>
    <col min="1282" max="1284" width="17.7109375" customWidth="1"/>
    <col min="1285" max="1285" width="16.140625" customWidth="1"/>
    <col min="1286" max="1286" width="17.7109375" customWidth="1"/>
    <col min="1287" max="1287" width="16.28515625" customWidth="1"/>
    <col min="1288" max="1291" width="17.7109375" customWidth="1"/>
    <col min="1292" max="1292" width="1.28515625" customWidth="1"/>
    <col min="1293" max="1293" width="15.140625" bestFit="1" customWidth="1"/>
    <col min="1537" max="1537" width="64.28515625" customWidth="1"/>
    <col min="1538" max="1540" width="17.7109375" customWidth="1"/>
    <col min="1541" max="1541" width="16.140625" customWidth="1"/>
    <col min="1542" max="1542" width="17.7109375" customWidth="1"/>
    <col min="1543" max="1543" width="16.28515625" customWidth="1"/>
    <col min="1544" max="1547" width="17.7109375" customWidth="1"/>
    <col min="1548" max="1548" width="1.28515625" customWidth="1"/>
    <col min="1549" max="1549" width="15.140625" bestFit="1" customWidth="1"/>
    <col min="1793" max="1793" width="64.28515625" customWidth="1"/>
    <col min="1794" max="1796" width="17.7109375" customWidth="1"/>
    <col min="1797" max="1797" width="16.140625" customWidth="1"/>
    <col min="1798" max="1798" width="17.7109375" customWidth="1"/>
    <col min="1799" max="1799" width="16.28515625" customWidth="1"/>
    <col min="1800" max="1803" width="17.7109375" customWidth="1"/>
    <col min="1804" max="1804" width="1.28515625" customWidth="1"/>
    <col min="1805" max="1805" width="15.140625" bestFit="1" customWidth="1"/>
    <col min="2049" max="2049" width="64.28515625" customWidth="1"/>
    <col min="2050" max="2052" width="17.7109375" customWidth="1"/>
    <col min="2053" max="2053" width="16.140625" customWidth="1"/>
    <col min="2054" max="2054" width="17.7109375" customWidth="1"/>
    <col min="2055" max="2055" width="16.28515625" customWidth="1"/>
    <col min="2056" max="2059" width="17.7109375" customWidth="1"/>
    <col min="2060" max="2060" width="1.28515625" customWidth="1"/>
    <col min="2061" max="2061" width="15.140625" bestFit="1" customWidth="1"/>
    <col min="2305" max="2305" width="64.28515625" customWidth="1"/>
    <col min="2306" max="2308" width="17.7109375" customWidth="1"/>
    <col min="2309" max="2309" width="16.140625" customWidth="1"/>
    <col min="2310" max="2310" width="17.7109375" customWidth="1"/>
    <col min="2311" max="2311" width="16.28515625" customWidth="1"/>
    <col min="2312" max="2315" width="17.7109375" customWidth="1"/>
    <col min="2316" max="2316" width="1.28515625" customWidth="1"/>
    <col min="2317" max="2317" width="15.140625" bestFit="1" customWidth="1"/>
    <col min="2561" max="2561" width="64.28515625" customWidth="1"/>
    <col min="2562" max="2564" width="17.7109375" customWidth="1"/>
    <col min="2565" max="2565" width="16.140625" customWidth="1"/>
    <col min="2566" max="2566" width="17.7109375" customWidth="1"/>
    <col min="2567" max="2567" width="16.28515625" customWidth="1"/>
    <col min="2568" max="2571" width="17.7109375" customWidth="1"/>
    <col min="2572" max="2572" width="1.28515625" customWidth="1"/>
    <col min="2573" max="2573" width="15.140625" bestFit="1" customWidth="1"/>
    <col min="2817" max="2817" width="64.28515625" customWidth="1"/>
    <col min="2818" max="2820" width="17.7109375" customWidth="1"/>
    <col min="2821" max="2821" width="16.140625" customWidth="1"/>
    <col min="2822" max="2822" width="17.7109375" customWidth="1"/>
    <col min="2823" max="2823" width="16.28515625" customWidth="1"/>
    <col min="2824" max="2827" width="17.7109375" customWidth="1"/>
    <col min="2828" max="2828" width="1.28515625" customWidth="1"/>
    <col min="2829" max="2829" width="15.140625" bestFit="1" customWidth="1"/>
    <col min="3073" max="3073" width="64.28515625" customWidth="1"/>
    <col min="3074" max="3076" width="17.7109375" customWidth="1"/>
    <col min="3077" max="3077" width="16.140625" customWidth="1"/>
    <col min="3078" max="3078" width="17.7109375" customWidth="1"/>
    <col min="3079" max="3079" width="16.28515625" customWidth="1"/>
    <col min="3080" max="3083" width="17.7109375" customWidth="1"/>
    <col min="3084" max="3084" width="1.28515625" customWidth="1"/>
    <col min="3085" max="3085" width="15.140625" bestFit="1" customWidth="1"/>
    <col min="3329" max="3329" width="64.28515625" customWidth="1"/>
    <col min="3330" max="3332" width="17.7109375" customWidth="1"/>
    <col min="3333" max="3333" width="16.140625" customWidth="1"/>
    <col min="3334" max="3334" width="17.7109375" customWidth="1"/>
    <col min="3335" max="3335" width="16.28515625" customWidth="1"/>
    <col min="3336" max="3339" width="17.7109375" customWidth="1"/>
    <col min="3340" max="3340" width="1.28515625" customWidth="1"/>
    <col min="3341" max="3341" width="15.140625" bestFit="1" customWidth="1"/>
    <col min="3585" max="3585" width="64.28515625" customWidth="1"/>
    <col min="3586" max="3588" width="17.7109375" customWidth="1"/>
    <col min="3589" max="3589" width="16.140625" customWidth="1"/>
    <col min="3590" max="3590" width="17.7109375" customWidth="1"/>
    <col min="3591" max="3591" width="16.28515625" customWidth="1"/>
    <col min="3592" max="3595" width="17.7109375" customWidth="1"/>
    <col min="3596" max="3596" width="1.28515625" customWidth="1"/>
    <col min="3597" max="3597" width="15.140625" bestFit="1" customWidth="1"/>
    <col min="3841" max="3841" width="64.28515625" customWidth="1"/>
    <col min="3842" max="3844" width="17.7109375" customWidth="1"/>
    <col min="3845" max="3845" width="16.140625" customWidth="1"/>
    <col min="3846" max="3846" width="17.7109375" customWidth="1"/>
    <col min="3847" max="3847" width="16.28515625" customWidth="1"/>
    <col min="3848" max="3851" width="17.7109375" customWidth="1"/>
    <col min="3852" max="3852" width="1.28515625" customWidth="1"/>
    <col min="3853" max="3853" width="15.140625" bestFit="1" customWidth="1"/>
    <col min="4097" max="4097" width="64.28515625" customWidth="1"/>
    <col min="4098" max="4100" width="17.7109375" customWidth="1"/>
    <col min="4101" max="4101" width="16.140625" customWidth="1"/>
    <col min="4102" max="4102" width="17.7109375" customWidth="1"/>
    <col min="4103" max="4103" width="16.28515625" customWidth="1"/>
    <col min="4104" max="4107" width="17.7109375" customWidth="1"/>
    <col min="4108" max="4108" width="1.28515625" customWidth="1"/>
    <col min="4109" max="4109" width="15.140625" bestFit="1" customWidth="1"/>
    <col min="4353" max="4353" width="64.28515625" customWidth="1"/>
    <col min="4354" max="4356" width="17.7109375" customWidth="1"/>
    <col min="4357" max="4357" width="16.140625" customWidth="1"/>
    <col min="4358" max="4358" width="17.7109375" customWidth="1"/>
    <col min="4359" max="4359" width="16.28515625" customWidth="1"/>
    <col min="4360" max="4363" width="17.7109375" customWidth="1"/>
    <col min="4364" max="4364" width="1.28515625" customWidth="1"/>
    <col min="4365" max="4365" width="15.140625" bestFit="1" customWidth="1"/>
    <col min="4609" max="4609" width="64.28515625" customWidth="1"/>
    <col min="4610" max="4612" width="17.7109375" customWidth="1"/>
    <col min="4613" max="4613" width="16.140625" customWidth="1"/>
    <col min="4614" max="4614" width="17.7109375" customWidth="1"/>
    <col min="4615" max="4615" width="16.28515625" customWidth="1"/>
    <col min="4616" max="4619" width="17.7109375" customWidth="1"/>
    <col min="4620" max="4620" width="1.28515625" customWidth="1"/>
    <col min="4621" max="4621" width="15.140625" bestFit="1" customWidth="1"/>
    <col min="4865" max="4865" width="64.28515625" customWidth="1"/>
    <col min="4866" max="4868" width="17.7109375" customWidth="1"/>
    <col min="4869" max="4869" width="16.140625" customWidth="1"/>
    <col min="4870" max="4870" width="17.7109375" customWidth="1"/>
    <col min="4871" max="4871" width="16.28515625" customWidth="1"/>
    <col min="4872" max="4875" width="17.7109375" customWidth="1"/>
    <col min="4876" max="4876" width="1.28515625" customWidth="1"/>
    <col min="4877" max="4877" width="15.140625" bestFit="1" customWidth="1"/>
    <col min="5121" max="5121" width="64.28515625" customWidth="1"/>
    <col min="5122" max="5124" width="17.7109375" customWidth="1"/>
    <col min="5125" max="5125" width="16.140625" customWidth="1"/>
    <col min="5126" max="5126" width="17.7109375" customWidth="1"/>
    <col min="5127" max="5127" width="16.28515625" customWidth="1"/>
    <col min="5128" max="5131" width="17.7109375" customWidth="1"/>
    <col min="5132" max="5132" width="1.28515625" customWidth="1"/>
    <col min="5133" max="5133" width="15.140625" bestFit="1" customWidth="1"/>
    <col min="5377" max="5377" width="64.28515625" customWidth="1"/>
    <col min="5378" max="5380" width="17.7109375" customWidth="1"/>
    <col min="5381" max="5381" width="16.140625" customWidth="1"/>
    <col min="5382" max="5382" width="17.7109375" customWidth="1"/>
    <col min="5383" max="5383" width="16.28515625" customWidth="1"/>
    <col min="5384" max="5387" width="17.7109375" customWidth="1"/>
    <col min="5388" max="5388" width="1.28515625" customWidth="1"/>
    <col min="5389" max="5389" width="15.140625" bestFit="1" customWidth="1"/>
    <col min="5633" max="5633" width="64.28515625" customWidth="1"/>
    <col min="5634" max="5636" width="17.7109375" customWidth="1"/>
    <col min="5637" max="5637" width="16.140625" customWidth="1"/>
    <col min="5638" max="5638" width="17.7109375" customWidth="1"/>
    <col min="5639" max="5639" width="16.28515625" customWidth="1"/>
    <col min="5640" max="5643" width="17.7109375" customWidth="1"/>
    <col min="5644" max="5644" width="1.28515625" customWidth="1"/>
    <col min="5645" max="5645" width="15.140625" bestFit="1" customWidth="1"/>
    <col min="5889" max="5889" width="64.28515625" customWidth="1"/>
    <col min="5890" max="5892" width="17.7109375" customWidth="1"/>
    <col min="5893" max="5893" width="16.140625" customWidth="1"/>
    <col min="5894" max="5894" width="17.7109375" customWidth="1"/>
    <col min="5895" max="5895" width="16.28515625" customWidth="1"/>
    <col min="5896" max="5899" width="17.7109375" customWidth="1"/>
    <col min="5900" max="5900" width="1.28515625" customWidth="1"/>
    <col min="5901" max="5901" width="15.140625" bestFit="1" customWidth="1"/>
    <col min="6145" max="6145" width="64.28515625" customWidth="1"/>
    <col min="6146" max="6148" width="17.7109375" customWidth="1"/>
    <col min="6149" max="6149" width="16.140625" customWidth="1"/>
    <col min="6150" max="6150" width="17.7109375" customWidth="1"/>
    <col min="6151" max="6151" width="16.28515625" customWidth="1"/>
    <col min="6152" max="6155" width="17.7109375" customWidth="1"/>
    <col min="6156" max="6156" width="1.28515625" customWidth="1"/>
    <col min="6157" max="6157" width="15.140625" bestFit="1" customWidth="1"/>
    <col min="6401" max="6401" width="64.28515625" customWidth="1"/>
    <col min="6402" max="6404" width="17.7109375" customWidth="1"/>
    <col min="6405" max="6405" width="16.140625" customWidth="1"/>
    <col min="6406" max="6406" width="17.7109375" customWidth="1"/>
    <col min="6407" max="6407" width="16.28515625" customWidth="1"/>
    <col min="6408" max="6411" width="17.7109375" customWidth="1"/>
    <col min="6412" max="6412" width="1.28515625" customWidth="1"/>
    <col min="6413" max="6413" width="15.140625" bestFit="1" customWidth="1"/>
    <col min="6657" max="6657" width="64.28515625" customWidth="1"/>
    <col min="6658" max="6660" width="17.7109375" customWidth="1"/>
    <col min="6661" max="6661" width="16.140625" customWidth="1"/>
    <col min="6662" max="6662" width="17.7109375" customWidth="1"/>
    <col min="6663" max="6663" width="16.28515625" customWidth="1"/>
    <col min="6664" max="6667" width="17.7109375" customWidth="1"/>
    <col min="6668" max="6668" width="1.28515625" customWidth="1"/>
    <col min="6669" max="6669" width="15.140625" bestFit="1" customWidth="1"/>
    <col min="6913" max="6913" width="64.28515625" customWidth="1"/>
    <col min="6914" max="6916" width="17.7109375" customWidth="1"/>
    <col min="6917" max="6917" width="16.140625" customWidth="1"/>
    <col min="6918" max="6918" width="17.7109375" customWidth="1"/>
    <col min="6919" max="6919" width="16.28515625" customWidth="1"/>
    <col min="6920" max="6923" width="17.7109375" customWidth="1"/>
    <col min="6924" max="6924" width="1.28515625" customWidth="1"/>
    <col min="6925" max="6925" width="15.140625" bestFit="1" customWidth="1"/>
    <col min="7169" max="7169" width="64.28515625" customWidth="1"/>
    <col min="7170" max="7172" width="17.7109375" customWidth="1"/>
    <col min="7173" max="7173" width="16.140625" customWidth="1"/>
    <col min="7174" max="7174" width="17.7109375" customWidth="1"/>
    <col min="7175" max="7175" width="16.28515625" customWidth="1"/>
    <col min="7176" max="7179" width="17.7109375" customWidth="1"/>
    <col min="7180" max="7180" width="1.28515625" customWidth="1"/>
    <col min="7181" max="7181" width="15.140625" bestFit="1" customWidth="1"/>
    <col min="7425" max="7425" width="64.28515625" customWidth="1"/>
    <col min="7426" max="7428" width="17.7109375" customWidth="1"/>
    <col min="7429" max="7429" width="16.140625" customWidth="1"/>
    <col min="7430" max="7430" width="17.7109375" customWidth="1"/>
    <col min="7431" max="7431" width="16.28515625" customWidth="1"/>
    <col min="7432" max="7435" width="17.7109375" customWidth="1"/>
    <col min="7436" max="7436" width="1.28515625" customWidth="1"/>
    <col min="7437" max="7437" width="15.140625" bestFit="1" customWidth="1"/>
    <col min="7681" max="7681" width="64.28515625" customWidth="1"/>
    <col min="7682" max="7684" width="17.7109375" customWidth="1"/>
    <col min="7685" max="7685" width="16.140625" customWidth="1"/>
    <col min="7686" max="7686" width="17.7109375" customWidth="1"/>
    <col min="7687" max="7687" width="16.28515625" customWidth="1"/>
    <col min="7688" max="7691" width="17.7109375" customWidth="1"/>
    <col min="7692" max="7692" width="1.28515625" customWidth="1"/>
    <col min="7693" max="7693" width="15.140625" bestFit="1" customWidth="1"/>
    <col min="7937" max="7937" width="64.28515625" customWidth="1"/>
    <col min="7938" max="7940" width="17.7109375" customWidth="1"/>
    <col min="7941" max="7941" width="16.140625" customWidth="1"/>
    <col min="7942" max="7942" width="17.7109375" customWidth="1"/>
    <col min="7943" max="7943" width="16.28515625" customWidth="1"/>
    <col min="7944" max="7947" width="17.7109375" customWidth="1"/>
    <col min="7948" max="7948" width="1.28515625" customWidth="1"/>
    <col min="7949" max="7949" width="15.140625" bestFit="1" customWidth="1"/>
    <col min="8193" max="8193" width="64.28515625" customWidth="1"/>
    <col min="8194" max="8196" width="17.7109375" customWidth="1"/>
    <col min="8197" max="8197" width="16.140625" customWidth="1"/>
    <col min="8198" max="8198" width="17.7109375" customWidth="1"/>
    <col min="8199" max="8199" width="16.28515625" customWidth="1"/>
    <col min="8200" max="8203" width="17.7109375" customWidth="1"/>
    <col min="8204" max="8204" width="1.28515625" customWidth="1"/>
    <col min="8205" max="8205" width="15.140625" bestFit="1" customWidth="1"/>
    <col min="8449" max="8449" width="64.28515625" customWidth="1"/>
    <col min="8450" max="8452" width="17.7109375" customWidth="1"/>
    <col min="8453" max="8453" width="16.140625" customWidth="1"/>
    <col min="8454" max="8454" width="17.7109375" customWidth="1"/>
    <col min="8455" max="8455" width="16.28515625" customWidth="1"/>
    <col min="8456" max="8459" width="17.7109375" customWidth="1"/>
    <col min="8460" max="8460" width="1.28515625" customWidth="1"/>
    <col min="8461" max="8461" width="15.140625" bestFit="1" customWidth="1"/>
    <col min="8705" max="8705" width="64.28515625" customWidth="1"/>
    <col min="8706" max="8708" width="17.7109375" customWidth="1"/>
    <col min="8709" max="8709" width="16.140625" customWidth="1"/>
    <col min="8710" max="8710" width="17.7109375" customWidth="1"/>
    <col min="8711" max="8711" width="16.28515625" customWidth="1"/>
    <col min="8712" max="8715" width="17.7109375" customWidth="1"/>
    <col min="8716" max="8716" width="1.28515625" customWidth="1"/>
    <col min="8717" max="8717" width="15.140625" bestFit="1" customWidth="1"/>
    <col min="8961" max="8961" width="64.28515625" customWidth="1"/>
    <col min="8962" max="8964" width="17.7109375" customWidth="1"/>
    <col min="8965" max="8965" width="16.140625" customWidth="1"/>
    <col min="8966" max="8966" width="17.7109375" customWidth="1"/>
    <col min="8967" max="8967" width="16.28515625" customWidth="1"/>
    <col min="8968" max="8971" width="17.7109375" customWidth="1"/>
    <col min="8972" max="8972" width="1.28515625" customWidth="1"/>
    <col min="8973" max="8973" width="15.140625" bestFit="1" customWidth="1"/>
    <col min="9217" max="9217" width="64.28515625" customWidth="1"/>
    <col min="9218" max="9220" width="17.7109375" customWidth="1"/>
    <col min="9221" max="9221" width="16.140625" customWidth="1"/>
    <col min="9222" max="9222" width="17.7109375" customWidth="1"/>
    <col min="9223" max="9223" width="16.28515625" customWidth="1"/>
    <col min="9224" max="9227" width="17.7109375" customWidth="1"/>
    <col min="9228" max="9228" width="1.28515625" customWidth="1"/>
    <col min="9229" max="9229" width="15.140625" bestFit="1" customWidth="1"/>
    <col min="9473" max="9473" width="64.28515625" customWidth="1"/>
    <col min="9474" max="9476" width="17.7109375" customWidth="1"/>
    <col min="9477" max="9477" width="16.140625" customWidth="1"/>
    <col min="9478" max="9478" width="17.7109375" customWidth="1"/>
    <col min="9479" max="9479" width="16.28515625" customWidth="1"/>
    <col min="9480" max="9483" width="17.7109375" customWidth="1"/>
    <col min="9484" max="9484" width="1.28515625" customWidth="1"/>
    <col min="9485" max="9485" width="15.140625" bestFit="1" customWidth="1"/>
    <col min="9729" max="9729" width="64.28515625" customWidth="1"/>
    <col min="9730" max="9732" width="17.7109375" customWidth="1"/>
    <col min="9733" max="9733" width="16.140625" customWidth="1"/>
    <col min="9734" max="9734" width="17.7109375" customWidth="1"/>
    <col min="9735" max="9735" width="16.28515625" customWidth="1"/>
    <col min="9736" max="9739" width="17.7109375" customWidth="1"/>
    <col min="9740" max="9740" width="1.28515625" customWidth="1"/>
    <col min="9741" max="9741" width="15.140625" bestFit="1" customWidth="1"/>
    <col min="9985" max="9985" width="64.28515625" customWidth="1"/>
    <col min="9986" max="9988" width="17.7109375" customWidth="1"/>
    <col min="9989" max="9989" width="16.140625" customWidth="1"/>
    <col min="9990" max="9990" width="17.7109375" customWidth="1"/>
    <col min="9991" max="9991" width="16.28515625" customWidth="1"/>
    <col min="9992" max="9995" width="17.7109375" customWidth="1"/>
    <col min="9996" max="9996" width="1.28515625" customWidth="1"/>
    <col min="9997" max="9997" width="15.140625" bestFit="1" customWidth="1"/>
    <col min="10241" max="10241" width="64.28515625" customWidth="1"/>
    <col min="10242" max="10244" width="17.7109375" customWidth="1"/>
    <col min="10245" max="10245" width="16.140625" customWidth="1"/>
    <col min="10246" max="10246" width="17.7109375" customWidth="1"/>
    <col min="10247" max="10247" width="16.28515625" customWidth="1"/>
    <col min="10248" max="10251" width="17.7109375" customWidth="1"/>
    <col min="10252" max="10252" width="1.28515625" customWidth="1"/>
    <col min="10253" max="10253" width="15.140625" bestFit="1" customWidth="1"/>
    <col min="10497" max="10497" width="64.28515625" customWidth="1"/>
    <col min="10498" max="10500" width="17.7109375" customWidth="1"/>
    <col min="10501" max="10501" width="16.140625" customWidth="1"/>
    <col min="10502" max="10502" width="17.7109375" customWidth="1"/>
    <col min="10503" max="10503" width="16.28515625" customWidth="1"/>
    <col min="10504" max="10507" width="17.7109375" customWidth="1"/>
    <col min="10508" max="10508" width="1.28515625" customWidth="1"/>
    <col min="10509" max="10509" width="15.140625" bestFit="1" customWidth="1"/>
    <col min="10753" max="10753" width="64.28515625" customWidth="1"/>
    <col min="10754" max="10756" width="17.7109375" customWidth="1"/>
    <col min="10757" max="10757" width="16.140625" customWidth="1"/>
    <col min="10758" max="10758" width="17.7109375" customWidth="1"/>
    <col min="10759" max="10759" width="16.28515625" customWidth="1"/>
    <col min="10760" max="10763" width="17.7109375" customWidth="1"/>
    <col min="10764" max="10764" width="1.28515625" customWidth="1"/>
    <col min="10765" max="10765" width="15.140625" bestFit="1" customWidth="1"/>
    <col min="11009" max="11009" width="64.28515625" customWidth="1"/>
    <col min="11010" max="11012" width="17.7109375" customWidth="1"/>
    <col min="11013" max="11013" width="16.140625" customWidth="1"/>
    <col min="11014" max="11014" width="17.7109375" customWidth="1"/>
    <col min="11015" max="11015" width="16.28515625" customWidth="1"/>
    <col min="11016" max="11019" width="17.7109375" customWidth="1"/>
    <col min="11020" max="11020" width="1.28515625" customWidth="1"/>
    <col min="11021" max="11021" width="15.140625" bestFit="1" customWidth="1"/>
    <col min="11265" max="11265" width="64.28515625" customWidth="1"/>
    <col min="11266" max="11268" width="17.7109375" customWidth="1"/>
    <col min="11269" max="11269" width="16.140625" customWidth="1"/>
    <col min="11270" max="11270" width="17.7109375" customWidth="1"/>
    <col min="11271" max="11271" width="16.28515625" customWidth="1"/>
    <col min="11272" max="11275" width="17.7109375" customWidth="1"/>
    <col min="11276" max="11276" width="1.28515625" customWidth="1"/>
    <col min="11277" max="11277" width="15.140625" bestFit="1" customWidth="1"/>
    <col min="11521" max="11521" width="64.28515625" customWidth="1"/>
    <col min="11522" max="11524" width="17.7109375" customWidth="1"/>
    <col min="11525" max="11525" width="16.140625" customWidth="1"/>
    <col min="11526" max="11526" width="17.7109375" customWidth="1"/>
    <col min="11527" max="11527" width="16.28515625" customWidth="1"/>
    <col min="11528" max="11531" width="17.7109375" customWidth="1"/>
    <col min="11532" max="11532" width="1.28515625" customWidth="1"/>
    <col min="11533" max="11533" width="15.140625" bestFit="1" customWidth="1"/>
    <col min="11777" max="11777" width="64.28515625" customWidth="1"/>
    <col min="11778" max="11780" width="17.7109375" customWidth="1"/>
    <col min="11781" max="11781" width="16.140625" customWidth="1"/>
    <col min="11782" max="11782" width="17.7109375" customWidth="1"/>
    <col min="11783" max="11783" width="16.28515625" customWidth="1"/>
    <col min="11784" max="11787" width="17.7109375" customWidth="1"/>
    <col min="11788" max="11788" width="1.28515625" customWidth="1"/>
    <col min="11789" max="11789" width="15.140625" bestFit="1" customWidth="1"/>
    <col min="12033" max="12033" width="64.28515625" customWidth="1"/>
    <col min="12034" max="12036" width="17.7109375" customWidth="1"/>
    <col min="12037" max="12037" width="16.140625" customWidth="1"/>
    <col min="12038" max="12038" width="17.7109375" customWidth="1"/>
    <col min="12039" max="12039" width="16.28515625" customWidth="1"/>
    <col min="12040" max="12043" width="17.7109375" customWidth="1"/>
    <col min="12044" max="12044" width="1.28515625" customWidth="1"/>
    <col min="12045" max="12045" width="15.140625" bestFit="1" customWidth="1"/>
    <col min="12289" max="12289" width="64.28515625" customWidth="1"/>
    <col min="12290" max="12292" width="17.7109375" customWidth="1"/>
    <col min="12293" max="12293" width="16.140625" customWidth="1"/>
    <col min="12294" max="12294" width="17.7109375" customWidth="1"/>
    <col min="12295" max="12295" width="16.28515625" customWidth="1"/>
    <col min="12296" max="12299" width="17.7109375" customWidth="1"/>
    <col min="12300" max="12300" width="1.28515625" customWidth="1"/>
    <col min="12301" max="12301" width="15.140625" bestFit="1" customWidth="1"/>
    <col min="12545" max="12545" width="64.28515625" customWidth="1"/>
    <col min="12546" max="12548" width="17.7109375" customWidth="1"/>
    <col min="12549" max="12549" width="16.140625" customWidth="1"/>
    <col min="12550" max="12550" width="17.7109375" customWidth="1"/>
    <col min="12551" max="12551" width="16.28515625" customWidth="1"/>
    <col min="12552" max="12555" width="17.7109375" customWidth="1"/>
    <col min="12556" max="12556" width="1.28515625" customWidth="1"/>
    <col min="12557" max="12557" width="15.140625" bestFit="1" customWidth="1"/>
    <col min="12801" max="12801" width="64.28515625" customWidth="1"/>
    <col min="12802" max="12804" width="17.7109375" customWidth="1"/>
    <col min="12805" max="12805" width="16.140625" customWidth="1"/>
    <col min="12806" max="12806" width="17.7109375" customWidth="1"/>
    <col min="12807" max="12807" width="16.28515625" customWidth="1"/>
    <col min="12808" max="12811" width="17.7109375" customWidth="1"/>
    <col min="12812" max="12812" width="1.28515625" customWidth="1"/>
    <col min="12813" max="12813" width="15.140625" bestFit="1" customWidth="1"/>
    <col min="13057" max="13057" width="64.28515625" customWidth="1"/>
    <col min="13058" max="13060" width="17.7109375" customWidth="1"/>
    <col min="13061" max="13061" width="16.140625" customWidth="1"/>
    <col min="13062" max="13062" width="17.7109375" customWidth="1"/>
    <col min="13063" max="13063" width="16.28515625" customWidth="1"/>
    <col min="13064" max="13067" width="17.7109375" customWidth="1"/>
    <col min="13068" max="13068" width="1.28515625" customWidth="1"/>
    <col min="13069" max="13069" width="15.140625" bestFit="1" customWidth="1"/>
    <col min="13313" max="13313" width="64.28515625" customWidth="1"/>
    <col min="13314" max="13316" width="17.7109375" customWidth="1"/>
    <col min="13317" max="13317" width="16.140625" customWidth="1"/>
    <col min="13318" max="13318" width="17.7109375" customWidth="1"/>
    <col min="13319" max="13319" width="16.28515625" customWidth="1"/>
    <col min="13320" max="13323" width="17.7109375" customWidth="1"/>
    <col min="13324" max="13324" width="1.28515625" customWidth="1"/>
    <col min="13325" max="13325" width="15.140625" bestFit="1" customWidth="1"/>
    <col min="13569" max="13569" width="64.28515625" customWidth="1"/>
    <col min="13570" max="13572" width="17.7109375" customWidth="1"/>
    <col min="13573" max="13573" width="16.140625" customWidth="1"/>
    <col min="13574" max="13574" width="17.7109375" customWidth="1"/>
    <col min="13575" max="13575" width="16.28515625" customWidth="1"/>
    <col min="13576" max="13579" width="17.7109375" customWidth="1"/>
    <col min="13580" max="13580" width="1.28515625" customWidth="1"/>
    <col min="13581" max="13581" width="15.140625" bestFit="1" customWidth="1"/>
    <col min="13825" max="13825" width="64.28515625" customWidth="1"/>
    <col min="13826" max="13828" width="17.7109375" customWidth="1"/>
    <col min="13829" max="13829" width="16.140625" customWidth="1"/>
    <col min="13830" max="13830" width="17.7109375" customWidth="1"/>
    <col min="13831" max="13831" width="16.28515625" customWidth="1"/>
    <col min="13832" max="13835" width="17.7109375" customWidth="1"/>
    <col min="13836" max="13836" width="1.28515625" customWidth="1"/>
    <col min="13837" max="13837" width="15.140625" bestFit="1" customWidth="1"/>
    <col min="14081" max="14081" width="64.28515625" customWidth="1"/>
    <col min="14082" max="14084" width="17.7109375" customWidth="1"/>
    <col min="14085" max="14085" width="16.140625" customWidth="1"/>
    <col min="14086" max="14086" width="17.7109375" customWidth="1"/>
    <col min="14087" max="14087" width="16.28515625" customWidth="1"/>
    <col min="14088" max="14091" width="17.7109375" customWidth="1"/>
    <col min="14092" max="14092" width="1.28515625" customWidth="1"/>
    <col min="14093" max="14093" width="15.140625" bestFit="1" customWidth="1"/>
    <col min="14337" max="14337" width="64.28515625" customWidth="1"/>
    <col min="14338" max="14340" width="17.7109375" customWidth="1"/>
    <col min="14341" max="14341" width="16.140625" customWidth="1"/>
    <col min="14342" max="14342" width="17.7109375" customWidth="1"/>
    <col min="14343" max="14343" width="16.28515625" customWidth="1"/>
    <col min="14344" max="14347" width="17.7109375" customWidth="1"/>
    <col min="14348" max="14348" width="1.28515625" customWidth="1"/>
    <col min="14349" max="14349" width="15.140625" bestFit="1" customWidth="1"/>
    <col min="14593" max="14593" width="64.28515625" customWidth="1"/>
    <col min="14594" max="14596" width="17.7109375" customWidth="1"/>
    <col min="14597" max="14597" width="16.140625" customWidth="1"/>
    <col min="14598" max="14598" width="17.7109375" customWidth="1"/>
    <col min="14599" max="14599" width="16.28515625" customWidth="1"/>
    <col min="14600" max="14603" width="17.7109375" customWidth="1"/>
    <col min="14604" max="14604" width="1.28515625" customWidth="1"/>
    <col min="14605" max="14605" width="15.140625" bestFit="1" customWidth="1"/>
    <col min="14849" max="14849" width="64.28515625" customWidth="1"/>
    <col min="14850" max="14852" width="17.7109375" customWidth="1"/>
    <col min="14853" max="14853" width="16.140625" customWidth="1"/>
    <col min="14854" max="14854" width="17.7109375" customWidth="1"/>
    <col min="14855" max="14855" width="16.28515625" customWidth="1"/>
    <col min="14856" max="14859" width="17.7109375" customWidth="1"/>
    <col min="14860" max="14860" width="1.28515625" customWidth="1"/>
    <col min="14861" max="14861" width="15.140625" bestFit="1" customWidth="1"/>
    <col min="15105" max="15105" width="64.28515625" customWidth="1"/>
    <col min="15106" max="15108" width="17.7109375" customWidth="1"/>
    <col min="15109" max="15109" width="16.140625" customWidth="1"/>
    <col min="15110" max="15110" width="17.7109375" customWidth="1"/>
    <col min="15111" max="15111" width="16.28515625" customWidth="1"/>
    <col min="15112" max="15115" width="17.7109375" customWidth="1"/>
    <col min="15116" max="15116" width="1.28515625" customWidth="1"/>
    <col min="15117" max="15117" width="15.140625" bestFit="1" customWidth="1"/>
    <col min="15361" max="15361" width="64.28515625" customWidth="1"/>
    <col min="15362" max="15364" width="17.7109375" customWidth="1"/>
    <col min="15365" max="15365" width="16.140625" customWidth="1"/>
    <col min="15366" max="15366" width="17.7109375" customWidth="1"/>
    <col min="15367" max="15367" width="16.28515625" customWidth="1"/>
    <col min="15368" max="15371" width="17.7109375" customWidth="1"/>
    <col min="15372" max="15372" width="1.28515625" customWidth="1"/>
    <col min="15373" max="15373" width="15.140625" bestFit="1" customWidth="1"/>
    <col min="15617" max="15617" width="64.28515625" customWidth="1"/>
    <col min="15618" max="15620" width="17.7109375" customWidth="1"/>
    <col min="15621" max="15621" width="16.140625" customWidth="1"/>
    <col min="15622" max="15622" width="17.7109375" customWidth="1"/>
    <col min="15623" max="15623" width="16.28515625" customWidth="1"/>
    <col min="15624" max="15627" width="17.7109375" customWidth="1"/>
    <col min="15628" max="15628" width="1.28515625" customWidth="1"/>
    <col min="15629" max="15629" width="15.140625" bestFit="1" customWidth="1"/>
    <col min="15873" max="15873" width="64.28515625" customWidth="1"/>
    <col min="15874" max="15876" width="17.7109375" customWidth="1"/>
    <col min="15877" max="15877" width="16.140625" customWidth="1"/>
    <col min="15878" max="15878" width="17.7109375" customWidth="1"/>
    <col min="15879" max="15879" width="16.28515625" customWidth="1"/>
    <col min="15880" max="15883" width="17.7109375" customWidth="1"/>
    <col min="15884" max="15884" width="1.28515625" customWidth="1"/>
    <col min="15885" max="15885" width="15.140625" bestFit="1" customWidth="1"/>
    <col min="16129" max="16129" width="64.28515625" customWidth="1"/>
    <col min="16130" max="16132" width="17.7109375" customWidth="1"/>
    <col min="16133" max="16133" width="16.140625" customWidth="1"/>
    <col min="16134" max="16134" width="17.7109375" customWidth="1"/>
    <col min="16135" max="16135" width="16.28515625" customWidth="1"/>
    <col min="16136" max="16139" width="17.7109375" customWidth="1"/>
    <col min="16140" max="16140" width="1.28515625" customWidth="1"/>
    <col min="16141" max="16141" width="15.140625" bestFit="1" customWidth="1"/>
  </cols>
  <sheetData>
    <row r="1" spans="1:11" s="177" customFormat="1">
      <c r="A1" s="914"/>
    </row>
    <row r="2" spans="1:11" s="177" customFormat="1">
      <c r="A2" s="247" t="s">
        <v>235</v>
      </c>
      <c r="B2" s="179"/>
      <c r="C2" s="179"/>
      <c r="D2" s="179"/>
      <c r="E2" s="179"/>
      <c r="F2" s="179"/>
      <c r="G2" s="179"/>
      <c r="H2" s="179"/>
      <c r="I2" s="179"/>
      <c r="J2" s="179"/>
      <c r="K2" s="180" t="s">
        <v>234</v>
      </c>
    </row>
    <row r="3" spans="1:11" s="177" customFormat="1" ht="15.75">
      <c r="A3" s="646" t="s">
        <v>1796</v>
      </c>
      <c r="B3" s="179"/>
      <c r="C3" s="179"/>
      <c r="D3" s="179"/>
      <c r="E3" s="179"/>
      <c r="F3" s="179"/>
      <c r="G3" s="179"/>
      <c r="H3" s="179"/>
      <c r="I3" s="179"/>
      <c r="J3" s="179"/>
      <c r="K3" s="179"/>
    </row>
    <row r="4" spans="1:11" s="177" customFormat="1">
      <c r="A4" s="247" t="s">
        <v>232</v>
      </c>
      <c r="B4" s="179"/>
      <c r="C4" s="179"/>
      <c r="D4" s="179"/>
      <c r="E4" s="179"/>
      <c r="F4" s="179"/>
      <c r="G4" s="179"/>
      <c r="H4" s="179"/>
      <c r="I4" s="179"/>
      <c r="J4" s="179"/>
      <c r="K4" s="179"/>
    </row>
    <row r="5" spans="1:11" s="177" customFormat="1"/>
    <row r="6" spans="1:11" s="177" customFormat="1">
      <c r="A6" s="184" t="s">
        <v>228</v>
      </c>
      <c r="B6" s="184" t="s">
        <v>227</v>
      </c>
      <c r="C6" s="184" t="s">
        <v>226</v>
      </c>
      <c r="D6" s="184"/>
      <c r="E6" s="183" t="s">
        <v>225</v>
      </c>
      <c r="F6" s="183"/>
      <c r="G6" s="184" t="s">
        <v>224</v>
      </c>
      <c r="H6" s="1381" t="s">
        <v>223</v>
      </c>
      <c r="I6" s="1381"/>
      <c r="J6" s="184" t="s">
        <v>222</v>
      </c>
      <c r="K6" s="184" t="s">
        <v>221</v>
      </c>
    </row>
    <row r="7" spans="1:11" s="186" customFormat="1">
      <c r="A7" s="1467" t="s">
        <v>220</v>
      </c>
      <c r="B7" s="1465" t="s">
        <v>219</v>
      </c>
      <c r="C7" s="1465" t="s">
        <v>218</v>
      </c>
      <c r="D7" s="1465" t="s">
        <v>217</v>
      </c>
      <c r="E7" s="1468" t="s">
        <v>216</v>
      </c>
      <c r="F7" s="1469"/>
      <c r="G7" s="1465" t="s">
        <v>215</v>
      </c>
      <c r="H7" s="1468" t="s">
        <v>214</v>
      </c>
      <c r="I7" s="1469"/>
      <c r="J7" s="1465" t="s">
        <v>240</v>
      </c>
      <c r="K7" s="1466" t="s">
        <v>212</v>
      </c>
    </row>
    <row r="8" spans="1:11" s="186" customFormat="1">
      <c r="A8" s="1467"/>
      <c r="B8" s="1465"/>
      <c r="C8" s="1465"/>
      <c r="D8" s="1465"/>
      <c r="E8" s="956" t="s">
        <v>211</v>
      </c>
      <c r="F8" s="957" t="s">
        <v>210</v>
      </c>
      <c r="G8" s="1465"/>
      <c r="H8" s="956" t="s">
        <v>211</v>
      </c>
      <c r="I8" s="957" t="s">
        <v>210</v>
      </c>
      <c r="J8" s="1465"/>
      <c r="K8" s="1466"/>
    </row>
    <row r="9" spans="1:11" ht="15.95" customHeight="1">
      <c r="A9" s="958" t="s">
        <v>1558</v>
      </c>
      <c r="B9" s="959"/>
      <c r="C9" s="959"/>
      <c r="D9" s="959"/>
      <c r="E9" s="959"/>
      <c r="F9" s="959"/>
      <c r="G9" s="959"/>
      <c r="H9" s="959"/>
      <c r="I9" s="959"/>
      <c r="J9" s="959"/>
      <c r="K9" s="959"/>
    </row>
    <row r="10" spans="1:11" ht="15.95" customHeight="1">
      <c r="A10" s="958" t="s">
        <v>1559</v>
      </c>
      <c r="B10" s="959"/>
      <c r="C10" s="959"/>
      <c r="D10" s="959"/>
      <c r="E10" s="959"/>
      <c r="F10" s="959"/>
      <c r="G10" s="959"/>
      <c r="H10" s="959"/>
      <c r="I10" s="959"/>
      <c r="J10" s="959"/>
      <c r="K10" s="959"/>
    </row>
    <row r="11" spans="1:11" ht="15.95" customHeight="1">
      <c r="A11" s="960" t="s">
        <v>1797</v>
      </c>
      <c r="B11" s="695" t="s">
        <v>1798</v>
      </c>
      <c r="C11" s="960" t="s">
        <v>109</v>
      </c>
      <c r="D11" s="961">
        <v>1.2E-2</v>
      </c>
      <c r="E11" s="962">
        <v>5.0000000000000001E-3</v>
      </c>
      <c r="F11" s="963">
        <v>0.03</v>
      </c>
      <c r="G11" s="193" t="s">
        <v>1799</v>
      </c>
      <c r="H11" s="193" t="s">
        <v>1799</v>
      </c>
      <c r="I11" s="193" t="s">
        <v>1799</v>
      </c>
      <c r="J11" s="235" t="s">
        <v>1800</v>
      </c>
      <c r="K11" s="964">
        <v>17503287.509999998</v>
      </c>
    </row>
    <row r="12" spans="1:11" ht="15.95" customHeight="1">
      <c r="A12" s="960" t="s">
        <v>256</v>
      </c>
      <c r="B12" s="960" t="s">
        <v>1801</v>
      </c>
      <c r="C12" s="960" t="s">
        <v>205</v>
      </c>
      <c r="D12" s="193"/>
      <c r="E12" s="263" t="s">
        <v>1802</v>
      </c>
      <c r="F12" s="263" t="s">
        <v>1803</v>
      </c>
      <c r="G12" s="193" t="s">
        <v>1799</v>
      </c>
      <c r="H12" s="193" t="s">
        <v>1799</v>
      </c>
      <c r="I12" s="193" t="s">
        <v>1799</v>
      </c>
      <c r="J12" s="235" t="s">
        <v>1800</v>
      </c>
      <c r="K12" s="964">
        <v>5048202.38</v>
      </c>
    </row>
    <row r="13" spans="1:11" ht="15.95" customHeight="1">
      <c r="A13" s="960" t="s">
        <v>1804</v>
      </c>
      <c r="B13" s="960" t="s">
        <v>1805</v>
      </c>
      <c r="C13" s="960" t="s">
        <v>109</v>
      </c>
      <c r="D13" s="965"/>
      <c r="E13" s="963">
        <v>0.04</v>
      </c>
      <c r="F13" s="963">
        <v>0.14000000000000001</v>
      </c>
      <c r="G13" s="193" t="s">
        <v>1799</v>
      </c>
      <c r="H13" s="193" t="s">
        <v>1799</v>
      </c>
      <c r="I13" s="193" t="s">
        <v>1799</v>
      </c>
      <c r="J13" s="235" t="s">
        <v>1800</v>
      </c>
      <c r="K13" s="964">
        <v>2974454.52</v>
      </c>
    </row>
    <row r="14" spans="1:11" ht="15.95" customHeight="1">
      <c r="A14" s="960" t="s">
        <v>1806</v>
      </c>
      <c r="B14" s="960" t="s">
        <v>591</v>
      </c>
      <c r="C14" s="960" t="s">
        <v>109</v>
      </c>
      <c r="D14" s="193"/>
      <c r="E14" s="193"/>
      <c r="F14" s="193"/>
      <c r="G14" s="263"/>
      <c r="H14" s="263">
        <v>380</v>
      </c>
      <c r="I14" s="263">
        <v>650</v>
      </c>
      <c r="J14" s="235" t="s">
        <v>1800</v>
      </c>
      <c r="K14" s="964">
        <v>2757575</v>
      </c>
    </row>
    <row r="15" spans="1:11" ht="15.95" customHeight="1">
      <c r="A15" s="966" t="s">
        <v>1807</v>
      </c>
      <c r="B15" s="960" t="s">
        <v>591</v>
      </c>
      <c r="C15" s="960" t="s">
        <v>205</v>
      </c>
      <c r="D15" s="193" t="s">
        <v>1799</v>
      </c>
      <c r="E15" s="733" t="s">
        <v>1799</v>
      </c>
      <c r="F15" s="193" t="s">
        <v>1799</v>
      </c>
      <c r="G15" s="967">
        <v>90</v>
      </c>
      <c r="H15" s="193"/>
      <c r="I15" s="193"/>
      <c r="J15" s="235" t="s">
        <v>1800</v>
      </c>
      <c r="K15" s="964">
        <v>459675.88</v>
      </c>
    </row>
    <row r="16" spans="1:11" ht="15.95" customHeight="1">
      <c r="A16" s="960" t="s">
        <v>1808</v>
      </c>
      <c r="B16" s="960" t="s">
        <v>1809</v>
      </c>
      <c r="C16" s="193"/>
      <c r="D16" s="193" t="s">
        <v>1799</v>
      </c>
      <c r="E16" s="193" t="s">
        <v>1799</v>
      </c>
      <c r="F16" s="193" t="s">
        <v>185</v>
      </c>
      <c r="G16" s="193" t="s">
        <v>1799</v>
      </c>
      <c r="H16" s="193" t="s">
        <v>1799</v>
      </c>
      <c r="I16" s="193" t="s">
        <v>1799</v>
      </c>
      <c r="J16" s="235" t="s">
        <v>1800</v>
      </c>
      <c r="K16" s="964">
        <v>653215.42999999993</v>
      </c>
    </row>
    <row r="17" spans="1:13" s="177" customFormat="1" ht="15.95" customHeight="1">
      <c r="A17" s="968" t="s">
        <v>1567</v>
      </c>
      <c r="B17" s="969"/>
      <c r="C17" s="969"/>
      <c r="D17" s="969"/>
      <c r="E17" s="969"/>
      <c r="F17" s="969"/>
      <c r="G17" s="969"/>
      <c r="H17" s="969"/>
      <c r="I17" s="969"/>
      <c r="J17" s="969"/>
      <c r="K17" s="970"/>
    </row>
    <row r="18" spans="1:13" s="732" customFormat="1" ht="15.95" customHeight="1">
      <c r="A18" s="960" t="s">
        <v>1810</v>
      </c>
      <c r="B18" s="960" t="s">
        <v>1805</v>
      </c>
      <c r="C18" s="960" t="s">
        <v>109</v>
      </c>
      <c r="D18" s="971">
        <v>8.3000000000000004E-2</v>
      </c>
      <c r="E18" s="217"/>
      <c r="F18" s="217"/>
      <c r="G18" s="217"/>
      <c r="H18" s="217"/>
      <c r="I18" s="217"/>
      <c r="J18" s="235" t="s">
        <v>1800</v>
      </c>
      <c r="K18" s="972">
        <v>6650242.4000000004</v>
      </c>
      <c r="L18" s="973"/>
    </row>
    <row r="19" spans="1:13" s="732" customFormat="1" ht="15.95" customHeight="1">
      <c r="A19" s="960" t="s">
        <v>1811</v>
      </c>
      <c r="B19" s="960" t="s">
        <v>1812</v>
      </c>
      <c r="C19" s="960" t="s">
        <v>1813</v>
      </c>
      <c r="D19" s="217"/>
      <c r="E19" s="217"/>
      <c r="F19" s="217"/>
      <c r="G19" s="217"/>
      <c r="H19" s="217"/>
      <c r="I19" s="217"/>
      <c r="J19" s="235" t="s">
        <v>1800</v>
      </c>
      <c r="K19" s="974">
        <f>790698.68+4463.4</f>
        <v>795162.08000000007</v>
      </c>
      <c r="L19" s="973"/>
    </row>
    <row r="20" spans="1:13" ht="15.95" customHeight="1">
      <c r="A20" s="958" t="s">
        <v>1568</v>
      </c>
      <c r="B20" s="959"/>
      <c r="C20" s="959"/>
      <c r="D20" s="959"/>
      <c r="E20" s="959"/>
      <c r="F20" s="959"/>
      <c r="G20" s="959"/>
      <c r="H20" s="959"/>
      <c r="I20" s="959"/>
      <c r="J20" s="959"/>
      <c r="K20" s="975"/>
    </row>
    <row r="21" spans="1:13" ht="15.95" customHeight="1">
      <c r="A21" s="960" t="s">
        <v>1814</v>
      </c>
      <c r="B21" s="960" t="s">
        <v>1815</v>
      </c>
      <c r="C21" s="960" t="s">
        <v>283</v>
      </c>
      <c r="D21" s="217"/>
      <c r="E21" s="193"/>
      <c r="F21" s="193"/>
      <c r="G21" s="193"/>
      <c r="H21" s="232">
        <v>140</v>
      </c>
      <c r="I21" s="232">
        <v>2500</v>
      </c>
      <c r="J21" s="235" t="s">
        <v>1800</v>
      </c>
      <c r="K21" s="964">
        <f>1242.96+248940</f>
        <v>250182.96</v>
      </c>
    </row>
    <row r="22" spans="1:13" ht="15.95" customHeight="1">
      <c r="A22" s="960" t="s">
        <v>1816</v>
      </c>
      <c r="B22" s="960" t="s">
        <v>1817</v>
      </c>
      <c r="C22" s="960" t="s">
        <v>1818</v>
      </c>
      <c r="D22" s="976" t="s">
        <v>1819</v>
      </c>
      <c r="E22" s="193"/>
      <c r="F22" s="193"/>
      <c r="G22" s="193"/>
      <c r="H22" s="294"/>
      <c r="I22" s="294"/>
      <c r="J22" s="235" t="s">
        <v>1800</v>
      </c>
      <c r="K22" s="964">
        <v>61023</v>
      </c>
    </row>
    <row r="23" spans="1:13" ht="15.95" customHeight="1">
      <c r="A23" s="960" t="s">
        <v>1820</v>
      </c>
      <c r="B23" s="960" t="s">
        <v>1821</v>
      </c>
      <c r="C23" s="960" t="s">
        <v>1818</v>
      </c>
      <c r="D23" s="193"/>
      <c r="E23" s="193"/>
      <c r="F23" s="193"/>
      <c r="G23" s="263"/>
      <c r="H23" s="235">
        <v>80</v>
      </c>
      <c r="I23" s="263">
        <v>4300</v>
      </c>
      <c r="J23" s="235" t="s">
        <v>1800</v>
      </c>
      <c r="K23" s="964">
        <f>3492153.17+13200+155100+61800+909695+1247380+330539+0.6</f>
        <v>6209867.7699999996</v>
      </c>
      <c r="M23" s="977"/>
    </row>
    <row r="24" spans="1:13" ht="15.95" customHeight="1">
      <c r="A24" s="960" t="s">
        <v>1822</v>
      </c>
      <c r="B24" s="960" t="s">
        <v>1823</v>
      </c>
      <c r="C24" s="960" t="s">
        <v>1824</v>
      </c>
      <c r="D24" s="193"/>
      <c r="E24" s="963">
        <v>0.05</v>
      </c>
      <c r="F24" s="963">
        <v>7.0000000000000007E-2</v>
      </c>
      <c r="G24" s="263"/>
      <c r="H24" s="263">
        <v>350</v>
      </c>
      <c r="I24" s="263">
        <v>800</v>
      </c>
      <c r="J24" s="235" t="s">
        <v>1800</v>
      </c>
      <c r="K24" s="964">
        <v>12100</v>
      </c>
      <c r="M24" s="978"/>
    </row>
    <row r="25" spans="1:13" ht="15.95" customHeight="1">
      <c r="A25" s="960" t="s">
        <v>1571</v>
      </c>
      <c r="B25" s="960" t="s">
        <v>1821</v>
      </c>
      <c r="C25" s="960" t="s">
        <v>1818</v>
      </c>
      <c r="D25" s="193"/>
      <c r="E25" s="193"/>
      <c r="F25" s="193"/>
      <c r="G25" s="193"/>
      <c r="H25" s="263">
        <v>80</v>
      </c>
      <c r="I25" s="263">
        <v>4900</v>
      </c>
      <c r="J25" s="235" t="s">
        <v>1800</v>
      </c>
      <c r="K25" s="964">
        <v>660515.18999999994</v>
      </c>
      <c r="M25" s="978"/>
    </row>
    <row r="26" spans="1:13" ht="15.95" customHeight="1">
      <c r="A26" s="960" t="s">
        <v>1825</v>
      </c>
      <c r="B26" s="960" t="s">
        <v>591</v>
      </c>
      <c r="C26" s="960" t="s">
        <v>283</v>
      </c>
      <c r="D26" s="193"/>
      <c r="E26" s="193"/>
      <c r="F26" s="193"/>
      <c r="G26" s="263" t="s">
        <v>185</v>
      </c>
      <c r="H26" s="263">
        <v>470</v>
      </c>
      <c r="I26" s="263">
        <v>51000</v>
      </c>
      <c r="J26" s="235" t="s">
        <v>1800</v>
      </c>
      <c r="K26" s="964">
        <f>670550+30370</f>
        <v>700920</v>
      </c>
      <c r="M26" s="978"/>
    </row>
    <row r="27" spans="1:13" ht="15.95" customHeight="1">
      <c r="A27" s="960" t="s">
        <v>1000</v>
      </c>
      <c r="B27" s="960" t="s">
        <v>591</v>
      </c>
      <c r="C27" s="960" t="s">
        <v>663</v>
      </c>
      <c r="D27" s="193"/>
      <c r="E27" s="193"/>
      <c r="F27" s="193"/>
      <c r="G27" s="263"/>
      <c r="H27" s="263">
        <v>550</v>
      </c>
      <c r="I27" s="263">
        <v>2500</v>
      </c>
      <c r="J27" s="235" t="s">
        <v>1800</v>
      </c>
      <c r="K27" s="964">
        <v>160710</v>
      </c>
      <c r="M27" s="978"/>
    </row>
    <row r="28" spans="1:13" ht="15.95" customHeight="1">
      <c r="A28" s="979" t="s">
        <v>1826</v>
      </c>
      <c r="B28" s="979" t="s">
        <v>251</v>
      </c>
      <c r="C28" s="979" t="s">
        <v>1818</v>
      </c>
      <c r="D28" s="193"/>
      <c r="E28" s="193" t="s">
        <v>1799</v>
      </c>
      <c r="F28" s="193" t="s">
        <v>1799</v>
      </c>
      <c r="G28" s="193" t="s">
        <v>1799</v>
      </c>
      <c r="H28" s="263">
        <v>370</v>
      </c>
      <c r="I28" s="263">
        <v>15200</v>
      </c>
      <c r="J28" s="235" t="s">
        <v>1800</v>
      </c>
      <c r="K28" s="964">
        <v>10920</v>
      </c>
      <c r="M28" s="978"/>
    </row>
    <row r="29" spans="1:13" ht="15.95" customHeight="1">
      <c r="A29" s="958" t="s">
        <v>1579</v>
      </c>
      <c r="B29" s="959"/>
      <c r="C29" s="959"/>
      <c r="D29" s="959"/>
      <c r="E29" s="959"/>
      <c r="F29" s="959"/>
      <c r="G29" s="959"/>
      <c r="H29" s="959"/>
      <c r="I29" s="959"/>
      <c r="J29" s="959"/>
      <c r="K29" s="975"/>
    </row>
    <row r="30" spans="1:13" s="399" customFormat="1" ht="15.95" customHeight="1">
      <c r="A30" s="192" t="s">
        <v>1827</v>
      </c>
      <c r="B30" s="192" t="s">
        <v>1828</v>
      </c>
      <c r="C30" s="193"/>
      <c r="D30" s="193"/>
      <c r="E30" s="193"/>
      <c r="F30" s="193"/>
      <c r="G30" s="193"/>
      <c r="H30" s="263" t="s">
        <v>1829</v>
      </c>
      <c r="I30" s="263" t="s">
        <v>1830</v>
      </c>
      <c r="J30" s="235" t="s">
        <v>1800</v>
      </c>
      <c r="K30" s="964">
        <v>20940</v>
      </c>
    </row>
    <row r="31" spans="1:13" ht="15.95" customHeight="1">
      <c r="A31" s="192" t="s">
        <v>1831</v>
      </c>
      <c r="B31" s="192" t="s">
        <v>1828</v>
      </c>
      <c r="C31" s="193"/>
      <c r="D31" s="193"/>
      <c r="E31" s="193"/>
      <c r="F31" s="193"/>
      <c r="G31" s="193"/>
      <c r="H31" s="967">
        <v>210</v>
      </c>
      <c r="I31" s="967">
        <v>1800</v>
      </c>
      <c r="J31" s="235" t="s">
        <v>1800</v>
      </c>
      <c r="K31" s="964">
        <v>56690</v>
      </c>
    </row>
    <row r="32" spans="1:13" s="177" customFormat="1" ht="15.95" customHeight="1">
      <c r="A32" s="968" t="s">
        <v>1580</v>
      </c>
      <c r="B32" s="969"/>
      <c r="C32" s="969"/>
      <c r="D32" s="969"/>
      <c r="E32" s="969"/>
      <c r="F32" s="969"/>
      <c r="G32" s="969"/>
      <c r="H32" s="969"/>
      <c r="I32" s="969"/>
      <c r="J32" s="969"/>
      <c r="K32" s="970"/>
    </row>
    <row r="33" spans="1:13" s="732" customFormat="1" ht="15.95" customHeight="1">
      <c r="A33" s="179"/>
      <c r="B33" s="980"/>
      <c r="C33" s="980"/>
      <c r="D33" s="980"/>
      <c r="E33" s="980"/>
      <c r="F33" s="980"/>
      <c r="G33" s="980"/>
      <c r="H33" s="980"/>
      <c r="I33" s="980"/>
      <c r="J33" s="981"/>
      <c r="K33" s="982"/>
    </row>
    <row r="34" spans="1:13" ht="15.95" customHeight="1">
      <c r="A34" s="958" t="s">
        <v>1581</v>
      </c>
      <c r="B34" s="959"/>
      <c r="C34" s="959"/>
      <c r="D34" s="959"/>
      <c r="E34" s="959"/>
      <c r="F34" s="959"/>
      <c r="G34" s="959"/>
      <c r="H34" s="959"/>
      <c r="I34" s="959"/>
      <c r="J34" s="959"/>
      <c r="K34" s="975"/>
    </row>
    <row r="35" spans="1:13" s="732" customFormat="1" ht="15.95" customHeight="1">
      <c r="A35" s="960" t="s">
        <v>1832</v>
      </c>
      <c r="B35" s="232" t="s">
        <v>1833</v>
      </c>
      <c r="C35" s="217"/>
      <c r="D35" s="983">
        <v>0.02</v>
      </c>
      <c r="E35" s="217"/>
      <c r="F35" s="217"/>
      <c r="G35" s="217"/>
      <c r="H35" s="217"/>
      <c r="I35" s="217"/>
      <c r="J35" s="235" t="s">
        <v>1800</v>
      </c>
      <c r="K35" s="972">
        <v>388117.94</v>
      </c>
    </row>
    <row r="36" spans="1:13" s="732" customFormat="1" ht="15.95" customHeight="1">
      <c r="A36" s="960" t="s">
        <v>1834</v>
      </c>
      <c r="B36" s="960" t="s">
        <v>1835</v>
      </c>
      <c r="C36" s="960" t="s">
        <v>109</v>
      </c>
      <c r="D36" s="963">
        <v>0.1</v>
      </c>
      <c r="E36" s="193" t="s">
        <v>1799</v>
      </c>
      <c r="F36" s="193" t="s">
        <v>1799</v>
      </c>
      <c r="G36" s="193" t="s">
        <v>1799</v>
      </c>
      <c r="H36" s="193" t="s">
        <v>1799</v>
      </c>
      <c r="I36" s="193" t="s">
        <v>1799</v>
      </c>
      <c r="J36" s="235" t="s">
        <v>1800</v>
      </c>
      <c r="K36" s="964">
        <v>2177816.08</v>
      </c>
    </row>
    <row r="37" spans="1:13" ht="15.95" customHeight="1">
      <c r="A37" s="984"/>
      <c r="B37" s="985"/>
      <c r="C37" s="985"/>
      <c r="D37" s="985"/>
      <c r="E37" s="985"/>
      <c r="F37" s="985"/>
      <c r="G37" s="985"/>
      <c r="H37" s="985"/>
      <c r="I37" s="985"/>
      <c r="J37" s="985"/>
      <c r="K37" s="985"/>
    </row>
    <row r="38" spans="1:13">
      <c r="B38" s="246"/>
      <c r="C38" s="246"/>
      <c r="D38" s="246"/>
      <c r="E38" s="246"/>
      <c r="F38" s="246"/>
      <c r="G38" s="246"/>
      <c r="H38" s="246"/>
      <c r="I38" s="246"/>
      <c r="J38" s="246"/>
      <c r="K38" s="986"/>
      <c r="M38" s="781"/>
    </row>
    <row r="39" spans="1:13">
      <c r="A39" s="277"/>
      <c r="B39" s="239"/>
      <c r="C39" s="239"/>
      <c r="K39" s="781"/>
    </row>
    <row r="40" spans="1:13" ht="16.5">
      <c r="A40" s="2"/>
      <c r="K40" s="781"/>
    </row>
    <row r="41" spans="1:13" ht="16.5">
      <c r="A41" s="2"/>
      <c r="K41" s="781"/>
    </row>
    <row r="42" spans="1:13" ht="16.5">
      <c r="A42" s="2"/>
      <c r="K42" s="987"/>
    </row>
    <row r="43" spans="1:13">
      <c r="K43" s="987"/>
    </row>
    <row r="44" spans="1:13">
      <c r="M44" s="781"/>
    </row>
    <row r="46" spans="1:13">
      <c r="K46" s="781"/>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5" scale="70" orientation="landscape" verticalDpi="4294967293"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pageSetUpPr fitToPage="1"/>
  </sheetPr>
  <dimension ref="A1:K67"/>
  <sheetViews>
    <sheetView showGridLines="0" zoomScaleNormal="100" workbookViewId="0"/>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177" customFormat="1" ht="21" customHeight="1">
      <c r="A1" s="175" t="s">
        <v>235</v>
      </c>
      <c r="B1" s="176"/>
    </row>
    <row r="2" spans="1:11" s="177" customFormat="1" ht="19.5" customHeight="1">
      <c r="A2" s="178" t="s">
        <v>1836</v>
      </c>
      <c r="B2" s="176"/>
      <c r="C2" s="179"/>
      <c r="D2" s="179"/>
      <c r="E2" s="179"/>
      <c r="F2" s="179"/>
      <c r="G2" s="179"/>
      <c r="H2" s="179"/>
      <c r="I2" s="179"/>
      <c r="J2" s="179"/>
      <c r="K2" s="180" t="s">
        <v>234</v>
      </c>
    </row>
    <row r="3" spans="1:11" s="177" customFormat="1" ht="22.5" customHeight="1">
      <c r="A3" s="181" t="s">
        <v>238</v>
      </c>
      <c r="B3" s="176"/>
      <c r="C3" s="179"/>
      <c r="D3" s="179"/>
      <c r="E3" s="179"/>
      <c r="F3" s="179"/>
      <c r="G3" s="179"/>
      <c r="H3" s="179"/>
      <c r="I3" s="179"/>
      <c r="J3" s="179"/>
      <c r="K3" s="179"/>
    </row>
    <row r="4" spans="1:11" s="177" customFormat="1" ht="25.5" customHeight="1">
      <c r="A4" s="175" t="s">
        <v>1837</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ht="18.75" customHeight="1">
      <c r="A6" s="415"/>
      <c r="B6" s="416"/>
      <c r="C6" s="416"/>
      <c r="D6" s="418"/>
      <c r="E6" s="418"/>
      <c r="F6" s="418"/>
      <c r="G6" s="248"/>
      <c r="H6" s="419"/>
      <c r="I6" s="419"/>
      <c r="K6" s="419"/>
    </row>
    <row r="7" spans="1:11" s="177" customFormat="1" ht="18.75" customHeight="1">
      <c r="A7" s="248"/>
      <c r="D7" s="419"/>
      <c r="E7" s="419"/>
      <c r="F7" s="419"/>
      <c r="G7" s="248"/>
      <c r="H7" s="419"/>
      <c r="I7" s="419"/>
      <c r="K7" s="419"/>
    </row>
    <row r="8" spans="1:11" s="177" customFormat="1">
      <c r="A8" s="184" t="s">
        <v>228</v>
      </c>
      <c r="B8" s="184" t="s">
        <v>227</v>
      </c>
      <c r="C8" s="184" t="s">
        <v>226</v>
      </c>
      <c r="D8" s="184"/>
      <c r="E8" s="183" t="s">
        <v>225</v>
      </c>
      <c r="F8" s="183"/>
      <c r="G8" s="184" t="s">
        <v>224</v>
      </c>
      <c r="H8" s="1381" t="s">
        <v>223</v>
      </c>
      <c r="I8" s="1381"/>
      <c r="J8" s="184" t="s">
        <v>222</v>
      </c>
      <c r="K8" s="184" t="s">
        <v>221</v>
      </c>
    </row>
    <row r="9" spans="1:11" s="186" customFormat="1">
      <c r="A9" s="1382" t="s">
        <v>220</v>
      </c>
      <c r="B9" s="1379" t="s">
        <v>219</v>
      </c>
      <c r="C9" s="1379" t="s">
        <v>218</v>
      </c>
      <c r="D9" s="1379" t="s">
        <v>217</v>
      </c>
      <c r="E9" s="1379" t="s">
        <v>216</v>
      </c>
      <c r="F9" s="1379"/>
      <c r="G9" s="1379" t="s">
        <v>215</v>
      </c>
      <c r="H9" s="1379" t="s">
        <v>214</v>
      </c>
      <c r="I9" s="1379"/>
      <c r="J9" s="1379" t="s">
        <v>240</v>
      </c>
      <c r="K9" s="1380" t="s">
        <v>212</v>
      </c>
    </row>
    <row r="10" spans="1:11" s="186" customFormat="1">
      <c r="A10" s="1382"/>
      <c r="B10" s="1379"/>
      <c r="C10" s="1379"/>
      <c r="D10" s="1379"/>
      <c r="E10" s="187" t="s">
        <v>211</v>
      </c>
      <c r="F10" s="187" t="s">
        <v>210</v>
      </c>
      <c r="G10" s="1379"/>
      <c r="H10" s="187" t="s">
        <v>211</v>
      </c>
      <c r="I10" s="187" t="s">
        <v>210</v>
      </c>
      <c r="J10" s="1379"/>
      <c r="K10" s="1380"/>
    </row>
    <row r="11" spans="1:11" ht="15.95" customHeight="1">
      <c r="A11" s="188" t="s">
        <v>208</v>
      </c>
      <c r="B11" s="189"/>
      <c r="C11" s="189"/>
      <c r="D11" s="189"/>
      <c r="E11" s="189"/>
      <c r="F11" s="189"/>
      <c r="G11" s="189"/>
      <c r="H11" s="189"/>
      <c r="I11" s="189"/>
      <c r="J11" s="189"/>
      <c r="K11" s="190">
        <f>SUM(K12)</f>
        <v>0</v>
      </c>
    </row>
    <row r="12" spans="1:11" ht="19.5" customHeight="1">
      <c r="A12" s="192"/>
      <c r="B12" s="193"/>
      <c r="C12" s="193"/>
      <c r="D12" s="194"/>
      <c r="E12" s="194"/>
      <c r="F12" s="194"/>
      <c r="G12" s="193"/>
      <c r="H12" s="193"/>
      <c r="I12" s="193"/>
      <c r="J12" s="193"/>
      <c r="K12" s="195"/>
    </row>
    <row r="13" spans="1:11" ht="15.95" customHeight="1">
      <c r="A13" s="188" t="s">
        <v>207</v>
      </c>
      <c r="B13" s="189"/>
      <c r="C13" s="189"/>
      <c r="D13" s="196"/>
      <c r="E13" s="196"/>
      <c r="F13" s="196"/>
      <c r="G13" s="189"/>
      <c r="H13" s="189"/>
      <c r="I13" s="189"/>
      <c r="J13" s="189"/>
      <c r="K13" s="190">
        <f>SUM(K14:K23)</f>
        <v>3561341.9200000004</v>
      </c>
    </row>
    <row r="14" spans="1:11" ht="15.95" customHeight="1">
      <c r="A14" s="192" t="s">
        <v>1180</v>
      </c>
      <c r="B14" s="193" t="s">
        <v>1838</v>
      </c>
      <c r="C14" s="193" t="s">
        <v>205</v>
      </c>
      <c r="D14" s="194"/>
      <c r="E14" s="194"/>
      <c r="F14" s="194"/>
      <c r="G14" s="193"/>
      <c r="H14" s="195">
        <v>446.4</v>
      </c>
      <c r="I14" s="195">
        <v>632</v>
      </c>
      <c r="J14" s="193" t="s">
        <v>1839</v>
      </c>
      <c r="K14" s="195">
        <f>1172274.18+154204.86</f>
        <v>1326479.04</v>
      </c>
    </row>
    <row r="15" spans="1:11" ht="15.95" customHeight="1">
      <c r="A15" s="192" t="s">
        <v>1840</v>
      </c>
      <c r="B15" s="193" t="s">
        <v>1841</v>
      </c>
      <c r="C15" s="193" t="s">
        <v>205</v>
      </c>
      <c r="D15" s="194"/>
      <c r="E15" s="424">
        <v>2E-3</v>
      </c>
      <c r="F15" s="424">
        <v>0.06</v>
      </c>
      <c r="G15" s="193"/>
      <c r="H15" s="193"/>
      <c r="I15" s="193"/>
      <c r="J15" s="193" t="s">
        <v>1839</v>
      </c>
      <c r="K15" s="195">
        <f>1184959.87+79400.07</f>
        <v>1264359.9400000002</v>
      </c>
    </row>
    <row r="16" spans="1:11" ht="15.95" customHeight="1">
      <c r="A16" s="192" t="s">
        <v>1842</v>
      </c>
      <c r="B16" s="193" t="s">
        <v>1841</v>
      </c>
      <c r="C16" s="193" t="s">
        <v>109</v>
      </c>
      <c r="D16" s="194">
        <v>0.06</v>
      </c>
      <c r="E16" s="194"/>
      <c r="F16" s="194"/>
      <c r="G16" s="193"/>
      <c r="H16" s="193"/>
      <c r="I16" s="193"/>
      <c r="J16" s="193" t="s">
        <v>1839</v>
      </c>
      <c r="K16" s="195">
        <v>711793.32</v>
      </c>
    </row>
    <row r="17" spans="1:11" ht="15.95" customHeight="1">
      <c r="A17" s="192" t="s">
        <v>1843</v>
      </c>
      <c r="B17" s="193"/>
      <c r="C17" s="193"/>
      <c r="D17" s="194">
        <v>0.1</v>
      </c>
      <c r="E17" s="194"/>
      <c r="F17" s="194"/>
      <c r="G17" s="193"/>
      <c r="H17" s="193"/>
      <c r="I17" s="193"/>
      <c r="J17" s="193" t="s">
        <v>1839</v>
      </c>
      <c r="K17" s="195">
        <v>258709.62</v>
      </c>
    </row>
    <row r="18" spans="1:11" ht="15.95" customHeight="1">
      <c r="A18" s="192"/>
      <c r="B18" s="193"/>
      <c r="C18" s="193"/>
      <c r="D18" s="194"/>
      <c r="E18" s="194"/>
      <c r="F18" s="194"/>
      <c r="G18" s="193"/>
      <c r="H18" s="193"/>
      <c r="I18" s="193"/>
      <c r="J18" s="193"/>
      <c r="K18" s="195"/>
    </row>
    <row r="19" spans="1:11" ht="15.95" customHeight="1">
      <c r="A19" s="192"/>
      <c r="B19" s="193"/>
      <c r="C19" s="193"/>
      <c r="D19" s="194"/>
      <c r="E19" s="194"/>
      <c r="F19" s="194"/>
      <c r="G19" s="193"/>
      <c r="H19" s="193"/>
      <c r="I19" s="193"/>
      <c r="J19" s="193"/>
      <c r="K19" s="195"/>
    </row>
    <row r="20" spans="1:11" ht="15.95" customHeight="1">
      <c r="A20" s="192"/>
      <c r="B20" s="193"/>
      <c r="C20" s="193"/>
      <c r="D20" s="194"/>
      <c r="E20" s="194"/>
      <c r="F20" s="194"/>
      <c r="G20" s="193"/>
      <c r="H20" s="193"/>
      <c r="I20" s="193"/>
      <c r="J20" s="193"/>
      <c r="K20" s="195"/>
    </row>
    <row r="21" spans="1:11" ht="15.95" customHeight="1">
      <c r="A21" s="192"/>
      <c r="B21" s="193"/>
      <c r="C21" s="193"/>
      <c r="D21" s="194"/>
      <c r="E21" s="194"/>
      <c r="F21" s="194"/>
      <c r="G21" s="193"/>
      <c r="H21" s="193"/>
      <c r="I21" s="193"/>
      <c r="J21" s="193"/>
      <c r="K21" s="195"/>
    </row>
    <row r="22" spans="1:11" ht="15.95" customHeight="1">
      <c r="A22" s="192"/>
      <c r="B22" s="193"/>
      <c r="C22" s="193"/>
      <c r="D22" s="194"/>
      <c r="E22" s="194"/>
      <c r="F22" s="194"/>
      <c r="G22" s="193"/>
      <c r="H22" s="193"/>
      <c r="I22" s="193"/>
      <c r="J22" s="193"/>
      <c r="K22" s="195"/>
    </row>
    <row r="23" spans="1:11" ht="15.95" customHeight="1">
      <c r="A23" s="192"/>
      <c r="B23" s="193"/>
      <c r="C23" s="193"/>
      <c r="D23" s="194"/>
      <c r="E23" s="194"/>
      <c r="F23" s="194"/>
      <c r="G23" s="193"/>
      <c r="H23" s="193"/>
      <c r="I23" s="193"/>
      <c r="J23" s="193"/>
      <c r="K23" s="195"/>
    </row>
    <row r="24" spans="1:11" s="177" customFormat="1" ht="15.95" customHeight="1">
      <c r="A24" s="209" t="s">
        <v>191</v>
      </c>
      <c r="B24" s="210"/>
      <c r="C24" s="210"/>
      <c r="D24" s="211"/>
      <c r="E24" s="211"/>
      <c r="F24" s="211"/>
      <c r="G24" s="210"/>
      <c r="H24" s="210"/>
      <c r="I24" s="210"/>
      <c r="J24" s="210"/>
      <c r="K24" s="213">
        <f>SUM(K25:K26)</f>
        <v>0</v>
      </c>
    </row>
    <row r="25" spans="1:11" s="177" customFormat="1" ht="15.95" customHeight="1">
      <c r="A25" s="192"/>
      <c r="B25" s="217"/>
      <c r="C25" s="217"/>
      <c r="D25" s="216"/>
      <c r="E25" s="216"/>
      <c r="F25" s="216"/>
      <c r="G25" s="217"/>
      <c r="H25" s="217"/>
      <c r="I25" s="217"/>
      <c r="J25" s="217"/>
      <c r="K25" s="219"/>
    </row>
    <row r="26" spans="1:11" s="177" customFormat="1" ht="15.95" customHeight="1">
      <c r="A26" s="192"/>
      <c r="B26" s="217"/>
      <c r="C26" s="217"/>
      <c r="D26" s="216"/>
      <c r="E26" s="216"/>
      <c r="F26" s="216"/>
      <c r="G26" s="217"/>
      <c r="H26" s="217"/>
      <c r="I26" s="217"/>
      <c r="J26" s="217"/>
      <c r="K26" s="219"/>
    </row>
    <row r="27" spans="1:11" ht="15.95" customHeight="1">
      <c r="A27" s="188" t="s">
        <v>179</v>
      </c>
      <c r="B27" s="189"/>
      <c r="C27" s="189"/>
      <c r="D27" s="196"/>
      <c r="E27" s="196"/>
      <c r="F27" s="196"/>
      <c r="G27" s="189"/>
      <c r="H27" s="189"/>
      <c r="I27" s="189"/>
      <c r="J27" s="189"/>
      <c r="K27" s="190">
        <f>SUM(K28:K36)</f>
        <v>1633762.46</v>
      </c>
    </row>
    <row r="28" spans="1:11" ht="15.95" customHeight="1">
      <c r="A28" s="192" t="s">
        <v>1844</v>
      </c>
      <c r="B28" s="193"/>
      <c r="C28" s="193"/>
      <c r="D28" s="194"/>
      <c r="E28" s="194"/>
      <c r="F28" s="194"/>
      <c r="G28" s="193"/>
      <c r="H28" s="193"/>
      <c r="I28" s="193"/>
      <c r="J28" s="193" t="s">
        <v>1839</v>
      </c>
      <c r="K28" s="195">
        <v>380000</v>
      </c>
    </row>
    <row r="29" spans="1:11" ht="15.95" customHeight="1">
      <c r="A29" s="192" t="s">
        <v>1845</v>
      </c>
      <c r="B29" s="193"/>
      <c r="C29" s="193"/>
      <c r="D29" s="194"/>
      <c r="E29" s="194"/>
      <c r="F29" s="194"/>
      <c r="G29" s="193"/>
      <c r="H29" s="193"/>
      <c r="I29" s="193"/>
      <c r="J29" s="193" t="s">
        <v>1839</v>
      </c>
      <c r="K29" s="195">
        <v>339563.73</v>
      </c>
    </row>
    <row r="30" spans="1:11" ht="15.95" customHeight="1">
      <c r="A30" s="192" t="s">
        <v>1846</v>
      </c>
      <c r="B30" s="193"/>
      <c r="C30" s="193"/>
      <c r="D30" s="194"/>
      <c r="E30" s="194"/>
      <c r="F30" s="194"/>
      <c r="G30" s="193"/>
      <c r="H30" s="193"/>
      <c r="I30" s="193"/>
      <c r="J30" s="193" t="s">
        <v>1839</v>
      </c>
      <c r="K30" s="195">
        <v>356713</v>
      </c>
    </row>
    <row r="31" spans="1:11" ht="15.95" customHeight="1">
      <c r="A31" s="192" t="s">
        <v>1847</v>
      </c>
      <c r="B31" s="193"/>
      <c r="C31" s="193"/>
      <c r="D31" s="194"/>
      <c r="E31" s="194"/>
      <c r="F31" s="194"/>
      <c r="G31" s="193"/>
      <c r="H31" s="193"/>
      <c r="I31" s="193"/>
      <c r="J31" s="193" t="s">
        <v>1839</v>
      </c>
      <c r="K31" s="195">
        <v>272270</v>
      </c>
    </row>
    <row r="32" spans="1:11" ht="15.95" customHeight="1">
      <c r="A32" s="192" t="s">
        <v>1848</v>
      </c>
      <c r="B32" s="193"/>
      <c r="C32" s="193"/>
      <c r="D32" s="194"/>
      <c r="E32" s="194"/>
      <c r="F32" s="194"/>
      <c r="G32" s="193"/>
      <c r="H32" s="193"/>
      <c r="I32" s="193"/>
      <c r="J32" s="193" t="s">
        <v>1839</v>
      </c>
      <c r="K32" s="195">
        <v>236940.73</v>
      </c>
    </row>
    <row r="33" spans="1:11" ht="15.95" customHeight="1">
      <c r="A33" s="192" t="s">
        <v>1849</v>
      </c>
      <c r="B33" s="193"/>
      <c r="C33" s="193"/>
      <c r="D33" s="194"/>
      <c r="E33" s="194"/>
      <c r="F33" s="194"/>
      <c r="G33" s="193"/>
      <c r="H33" s="193"/>
      <c r="I33" s="193"/>
      <c r="J33" s="193"/>
      <c r="K33" s="195">
        <v>0</v>
      </c>
    </row>
    <row r="34" spans="1:11" ht="15.95" customHeight="1">
      <c r="A34" s="192" t="s">
        <v>1850</v>
      </c>
      <c r="B34" s="193"/>
      <c r="C34" s="193"/>
      <c r="D34" s="194"/>
      <c r="E34" s="194"/>
      <c r="F34" s="194"/>
      <c r="G34" s="193"/>
      <c r="H34" s="193"/>
      <c r="I34" s="193"/>
      <c r="J34" s="193" t="s">
        <v>1839</v>
      </c>
      <c r="K34" s="195">
        <v>44520</v>
      </c>
    </row>
    <row r="35" spans="1:11" ht="15.95" customHeight="1">
      <c r="A35" s="192" t="s">
        <v>290</v>
      </c>
      <c r="B35" s="193"/>
      <c r="C35" s="193"/>
      <c r="D35" s="194"/>
      <c r="E35" s="194"/>
      <c r="F35" s="194"/>
      <c r="G35" s="193"/>
      <c r="H35" s="193"/>
      <c r="I35" s="193"/>
      <c r="J35" s="193" t="s">
        <v>1839</v>
      </c>
      <c r="K35" s="195">
        <v>3200</v>
      </c>
    </row>
    <row r="36" spans="1:11" ht="15.95" customHeight="1">
      <c r="A36" s="192" t="s">
        <v>1851</v>
      </c>
      <c r="B36" s="193"/>
      <c r="C36" s="193"/>
      <c r="D36" s="194"/>
      <c r="E36" s="194"/>
      <c r="F36" s="194"/>
      <c r="G36" s="193"/>
      <c r="H36" s="193"/>
      <c r="I36" s="193"/>
      <c r="J36" s="193" t="s">
        <v>1839</v>
      </c>
      <c r="K36" s="195">
        <v>555</v>
      </c>
    </row>
    <row r="37" spans="1:11" ht="15.95" customHeight="1">
      <c r="A37" s="188" t="s">
        <v>152</v>
      </c>
      <c r="B37" s="189"/>
      <c r="C37" s="189"/>
      <c r="D37" s="196"/>
      <c r="E37" s="196"/>
      <c r="F37" s="196"/>
      <c r="G37" s="189"/>
      <c r="H37" s="189"/>
      <c r="I37" s="189"/>
      <c r="J37" s="189"/>
      <c r="K37" s="190">
        <f>SUM(K38:K40)</f>
        <v>0</v>
      </c>
    </row>
    <row r="38" spans="1:11" ht="15.95" customHeight="1">
      <c r="A38" s="192" t="s">
        <v>1852</v>
      </c>
      <c r="B38" s="193"/>
      <c r="C38" s="193"/>
      <c r="D38" s="194"/>
      <c r="E38" s="194"/>
      <c r="F38" s="194"/>
      <c r="G38" s="193"/>
      <c r="H38" s="193"/>
      <c r="I38" s="193"/>
      <c r="J38" s="193"/>
      <c r="K38" s="195">
        <v>0</v>
      </c>
    </row>
    <row r="39" spans="1:11" ht="15.95" customHeight="1">
      <c r="A39" s="256"/>
      <c r="B39" s="193"/>
      <c r="C39" s="193"/>
      <c r="D39" s="194"/>
      <c r="E39" s="194"/>
      <c r="F39" s="194"/>
      <c r="G39" s="193"/>
      <c r="H39" s="193"/>
      <c r="I39" s="193"/>
      <c r="J39" s="193"/>
      <c r="K39" s="195"/>
    </row>
    <row r="40" spans="1:11" ht="15.95" customHeight="1">
      <c r="A40" s="256"/>
      <c r="B40" s="193"/>
      <c r="C40" s="193"/>
      <c r="D40" s="194"/>
      <c r="E40" s="194"/>
      <c r="F40" s="194"/>
      <c r="G40" s="193"/>
      <c r="H40" s="193"/>
      <c r="I40" s="193"/>
      <c r="J40" s="193"/>
      <c r="K40" s="195"/>
    </row>
    <row r="41" spans="1:11" ht="15.95" customHeight="1">
      <c r="A41" s="188" t="s">
        <v>151</v>
      </c>
      <c r="B41" s="189"/>
      <c r="C41" s="189"/>
      <c r="D41" s="196"/>
      <c r="E41" s="196"/>
      <c r="F41" s="196"/>
      <c r="G41" s="189"/>
      <c r="H41" s="189"/>
      <c r="I41" s="189"/>
      <c r="J41" s="189"/>
      <c r="K41" s="190">
        <f>SUM(K42:K44)</f>
        <v>58165.35</v>
      </c>
    </row>
    <row r="42" spans="1:11" ht="15.95" customHeight="1">
      <c r="A42" s="192" t="s">
        <v>1853</v>
      </c>
      <c r="B42" s="193"/>
      <c r="C42" s="193"/>
      <c r="D42" s="194"/>
      <c r="E42" s="194"/>
      <c r="F42" s="194"/>
      <c r="G42" s="193"/>
      <c r="H42" s="193"/>
      <c r="I42" s="193"/>
      <c r="J42" s="193" t="str">
        <f>+J36</f>
        <v>O.I.A 661/2021</v>
      </c>
      <c r="K42" s="195">
        <v>56430.35</v>
      </c>
    </row>
    <row r="43" spans="1:11" ht="15.95" customHeight="1">
      <c r="A43" s="192" t="s">
        <v>1854</v>
      </c>
      <c r="B43" s="193"/>
      <c r="C43" s="193"/>
      <c r="D43" s="194"/>
      <c r="E43" s="194"/>
      <c r="F43" s="194"/>
      <c r="G43" s="193"/>
      <c r="H43" s="193"/>
      <c r="I43" s="193"/>
      <c r="J43" s="193" t="str">
        <f>+J36</f>
        <v>O.I.A 661/2021</v>
      </c>
      <c r="K43" s="195">
        <v>1735</v>
      </c>
    </row>
    <row r="44" spans="1:11" ht="15.95" customHeight="1">
      <c r="A44" s="256"/>
      <c r="B44" s="193"/>
      <c r="C44" s="193"/>
      <c r="D44" s="194"/>
      <c r="E44" s="194"/>
      <c r="F44" s="194"/>
      <c r="G44" s="193"/>
      <c r="H44" s="193"/>
      <c r="I44" s="193"/>
      <c r="J44" s="193"/>
      <c r="K44" s="195"/>
    </row>
    <row r="45" spans="1:11" s="177" customFormat="1" ht="15.95" customHeight="1">
      <c r="A45" s="209" t="s">
        <v>137</v>
      </c>
      <c r="B45" s="210"/>
      <c r="C45" s="210"/>
      <c r="D45" s="211"/>
      <c r="E45" s="211"/>
      <c r="F45" s="211"/>
      <c r="G45" s="210"/>
      <c r="H45" s="210"/>
      <c r="I45" s="210"/>
      <c r="J45" s="210"/>
      <c r="K45" s="213">
        <f>SUM(K46)</f>
        <v>0</v>
      </c>
    </row>
    <row r="46" spans="1:11" s="177" customFormat="1" ht="15.95" customHeight="1">
      <c r="A46" s="274"/>
      <c r="B46" s="217"/>
      <c r="C46" s="217"/>
      <c r="D46" s="216"/>
      <c r="E46" s="216"/>
      <c r="F46" s="216"/>
      <c r="G46" s="217"/>
      <c r="H46" s="217"/>
      <c r="I46" s="217"/>
      <c r="J46" s="217"/>
      <c r="K46" s="219"/>
    </row>
    <row r="47" spans="1:11" ht="15.95" customHeight="1">
      <c r="A47" s="188" t="s">
        <v>136</v>
      </c>
      <c r="B47" s="189"/>
      <c r="C47" s="189"/>
      <c r="D47" s="196"/>
      <c r="E47" s="196"/>
      <c r="F47" s="196"/>
      <c r="G47" s="189"/>
      <c r="H47" s="189"/>
      <c r="I47" s="189"/>
      <c r="J47" s="189"/>
      <c r="K47" s="190">
        <f>SUM(K48:K50)</f>
        <v>992055.42</v>
      </c>
    </row>
    <row r="48" spans="1:11" ht="15.95" customHeight="1">
      <c r="A48" s="192" t="s">
        <v>1855</v>
      </c>
      <c r="B48" s="193"/>
      <c r="C48" s="193"/>
      <c r="D48" s="194"/>
      <c r="E48" s="194"/>
      <c r="F48" s="194"/>
      <c r="G48" s="193"/>
      <c r="H48" s="193"/>
      <c r="I48" s="193"/>
      <c r="J48" s="193"/>
      <c r="K48" s="195">
        <v>0</v>
      </c>
    </row>
    <row r="49" spans="1:11" ht="15.95" customHeight="1">
      <c r="A49" s="192" t="s">
        <v>1856</v>
      </c>
      <c r="B49" s="193"/>
      <c r="C49" s="193"/>
      <c r="D49" s="194"/>
      <c r="E49" s="194"/>
      <c r="F49" s="194"/>
      <c r="G49" s="193"/>
      <c r="H49" s="193"/>
      <c r="I49" s="193"/>
      <c r="J49" s="193"/>
      <c r="K49" s="195">
        <v>0</v>
      </c>
    </row>
    <row r="50" spans="1:11" ht="15.95" customHeight="1">
      <c r="A50" s="192" t="s">
        <v>1857</v>
      </c>
      <c r="B50" s="193"/>
      <c r="C50" s="193"/>
      <c r="D50" s="194"/>
      <c r="E50" s="194"/>
      <c r="F50" s="194"/>
      <c r="G50" s="193"/>
      <c r="H50" s="193"/>
      <c r="I50" s="193"/>
      <c r="J50" s="193" t="str">
        <f>+J43</f>
        <v>O.I.A 661/2021</v>
      </c>
      <c r="K50" s="195">
        <v>992055.42</v>
      </c>
    </row>
    <row r="51" spans="1:11" ht="15.95" customHeight="1">
      <c r="A51" s="241" t="s">
        <v>108</v>
      </c>
      <c r="B51" s="242"/>
      <c r="C51" s="242"/>
      <c r="D51" s="243"/>
      <c r="E51" s="243"/>
      <c r="F51" s="243"/>
      <c r="G51" s="242"/>
      <c r="H51" s="242"/>
      <c r="I51" s="242"/>
      <c r="J51" s="242"/>
      <c r="K51" s="276">
        <f>+K11+K13+K24+K27+K37+K41+K45+K47</f>
        <v>6245325.1500000004</v>
      </c>
    </row>
    <row r="52" spans="1:11">
      <c r="A52" s="245"/>
      <c r="B52" s="246"/>
      <c r="C52" s="246"/>
      <c r="D52" s="246"/>
      <c r="E52" s="246"/>
      <c r="F52" s="246"/>
      <c r="G52" s="246"/>
      <c r="H52" s="246"/>
      <c r="I52" s="246"/>
      <c r="J52" s="246"/>
      <c r="K52" s="246"/>
    </row>
    <row r="53" spans="1:11">
      <c r="K53" s="926"/>
    </row>
    <row r="55" spans="1:11">
      <c r="A55" s="399"/>
      <c r="B55" s="399"/>
      <c r="C55" s="399"/>
      <c r="D55" s="399"/>
      <c r="E55" s="399"/>
      <c r="F55" s="399"/>
      <c r="G55" s="399"/>
      <c r="K55" s="926"/>
    </row>
    <row r="56" spans="1:11">
      <c r="A56" s="988"/>
      <c r="B56" s="399"/>
      <c r="C56" s="399"/>
      <c r="D56" s="399"/>
      <c r="E56" s="399"/>
      <c r="F56" s="399"/>
      <c r="G56" s="399"/>
    </row>
    <row r="57" spans="1:11">
      <c r="A57" s="399"/>
      <c r="B57" s="399"/>
      <c r="C57" s="399"/>
      <c r="D57" s="399"/>
      <c r="E57" s="399"/>
      <c r="F57" s="399"/>
      <c r="G57" s="399"/>
    </row>
    <row r="58" spans="1:11">
      <c r="A58" s="399"/>
      <c r="B58" s="399"/>
      <c r="C58" s="399"/>
      <c r="D58" s="399"/>
      <c r="E58" s="399"/>
      <c r="F58" s="399"/>
      <c r="G58" s="399"/>
    </row>
    <row r="59" spans="1:11">
      <c r="A59" s="399"/>
      <c r="B59" s="399"/>
      <c r="C59" s="399"/>
      <c r="D59" s="399"/>
      <c r="E59" s="399"/>
      <c r="F59" s="399"/>
      <c r="G59" s="399"/>
    </row>
    <row r="60" spans="1:11">
      <c r="A60" s="399"/>
      <c r="B60" s="399"/>
      <c r="C60" s="399"/>
      <c r="D60" s="399"/>
      <c r="E60" s="399"/>
      <c r="F60" s="399"/>
      <c r="G60" s="399"/>
    </row>
    <row r="65" spans="11:11">
      <c r="K65" s="191"/>
    </row>
    <row r="67" spans="11:11">
      <c r="K67" s="191"/>
    </row>
  </sheetData>
  <mergeCells count="10">
    <mergeCell ref="J9:J10"/>
    <mergeCell ref="K9:K10"/>
    <mergeCell ref="H8:I8"/>
    <mergeCell ref="A9:A10"/>
    <mergeCell ref="B9:B10"/>
    <mergeCell ref="C9:C10"/>
    <mergeCell ref="D9:D10"/>
    <mergeCell ref="E9:F9"/>
    <mergeCell ref="G9:G10"/>
    <mergeCell ref="H9:I9"/>
  </mergeCells>
  <pageMargins left="0.70866141732283472" right="0.70866141732283472" top="0.74803149606299213" bottom="0.74803149606299213" header="0.31496062992125984" footer="0.31496062992125984"/>
  <pageSetup paperSize="9" scale="5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pageSetUpPr fitToPage="1"/>
  </sheetPr>
  <dimension ref="A1:K46"/>
  <sheetViews>
    <sheetView showGridLines="0" workbookViewId="0"/>
  </sheetViews>
  <sheetFormatPr baseColWidth="10" defaultRowHeight="15"/>
  <cols>
    <col min="1" max="1" width="34.7109375" customWidth="1"/>
    <col min="2" max="2" width="13.28515625" customWidth="1"/>
    <col min="3" max="3" width="16.28515625" customWidth="1"/>
    <col min="4" max="4" width="8" customWidth="1"/>
    <col min="5" max="5" width="9.140625" customWidth="1"/>
    <col min="6" max="6" width="9.7109375" customWidth="1"/>
    <col min="7" max="7" width="10.140625" customWidth="1"/>
    <col min="8" max="8" width="12.7109375" customWidth="1"/>
    <col min="9" max="9" width="12.85546875" customWidth="1"/>
    <col min="10" max="10" width="16.42578125" customWidth="1"/>
    <col min="11" max="11" width="15.42578125" customWidth="1"/>
    <col min="12" max="12" width="1.28515625" customWidth="1"/>
  </cols>
  <sheetData>
    <row r="1" spans="1:11" s="177" customFormat="1"/>
    <row r="2" spans="1:11" s="177" customFormat="1">
      <c r="A2" s="989" t="s">
        <v>1858</v>
      </c>
      <c r="B2" s="990"/>
      <c r="C2" s="990"/>
      <c r="D2" s="990"/>
      <c r="E2" s="990"/>
      <c r="F2" s="990"/>
      <c r="G2" s="990"/>
      <c r="H2" s="990"/>
      <c r="I2" s="990"/>
      <c r="J2" s="990"/>
      <c r="K2" s="991" t="s">
        <v>234</v>
      </c>
    </row>
    <row r="3" spans="1:11" s="177" customFormat="1" ht="15.75">
      <c r="A3" s="646" t="s">
        <v>1859</v>
      </c>
      <c r="B3" s="990"/>
      <c r="C3" s="990"/>
      <c r="D3" s="990"/>
      <c r="E3" s="990"/>
      <c r="F3" s="990"/>
      <c r="G3" s="990"/>
      <c r="H3" s="990"/>
      <c r="I3" s="990"/>
      <c r="J3" s="990"/>
      <c r="K3" s="990"/>
    </row>
    <row r="4" spans="1:11" s="177" customFormat="1">
      <c r="A4" s="989" t="s">
        <v>232</v>
      </c>
      <c r="B4" s="990"/>
      <c r="C4" s="990"/>
      <c r="D4" s="990"/>
      <c r="E4" s="990"/>
      <c r="F4" s="990"/>
      <c r="G4" s="990"/>
      <c r="H4" s="990"/>
      <c r="I4" s="990"/>
      <c r="J4" s="990"/>
      <c r="K4" s="990"/>
    </row>
    <row r="5" spans="1:11" s="177" customFormat="1"/>
    <row r="6" spans="1:11" s="177" customFormat="1">
      <c r="A6" s="992" t="s">
        <v>228</v>
      </c>
      <c r="B6" s="992" t="s">
        <v>227</v>
      </c>
      <c r="C6" s="992" t="s">
        <v>226</v>
      </c>
      <c r="D6" s="992"/>
      <c r="E6" s="993" t="s">
        <v>225</v>
      </c>
      <c r="F6" s="993"/>
      <c r="G6" s="992" t="s">
        <v>224</v>
      </c>
      <c r="H6" s="1470" t="s">
        <v>223</v>
      </c>
      <c r="I6" s="1470"/>
      <c r="J6" s="992" t="s">
        <v>222</v>
      </c>
      <c r="K6" s="992" t="s">
        <v>221</v>
      </c>
    </row>
    <row r="7" spans="1:11" s="186" customFormat="1">
      <c r="A7" s="1471" t="s">
        <v>220</v>
      </c>
      <c r="B7" s="1465" t="s">
        <v>219</v>
      </c>
      <c r="C7" s="1465" t="s">
        <v>218</v>
      </c>
      <c r="D7" s="1465" t="s">
        <v>217</v>
      </c>
      <c r="E7" s="1468" t="s">
        <v>216</v>
      </c>
      <c r="F7" s="1469"/>
      <c r="G7" s="1465" t="s">
        <v>215</v>
      </c>
      <c r="H7" s="1468" t="s">
        <v>214</v>
      </c>
      <c r="I7" s="1469"/>
      <c r="J7" s="1465" t="s">
        <v>240</v>
      </c>
      <c r="K7" s="1466" t="s">
        <v>212</v>
      </c>
    </row>
    <row r="8" spans="1:11" s="186" customFormat="1">
      <c r="A8" s="1471"/>
      <c r="B8" s="1465"/>
      <c r="C8" s="1465"/>
      <c r="D8" s="1465"/>
      <c r="E8" s="956" t="s">
        <v>211</v>
      </c>
      <c r="F8" s="957" t="s">
        <v>210</v>
      </c>
      <c r="G8" s="1465"/>
      <c r="H8" s="956" t="s">
        <v>211</v>
      </c>
      <c r="I8" s="957" t="s">
        <v>210</v>
      </c>
      <c r="J8" s="1465"/>
      <c r="K8" s="1466"/>
    </row>
    <row r="9" spans="1:11" ht="15.95" customHeight="1">
      <c r="A9" s="994" t="s">
        <v>1558</v>
      </c>
      <c r="B9" s="959"/>
      <c r="C9" s="959"/>
      <c r="D9" s="959"/>
      <c r="E9" s="959"/>
      <c r="F9" s="959"/>
      <c r="G9" s="959"/>
      <c r="H9" s="959"/>
      <c r="I9" s="959"/>
      <c r="J9" s="959"/>
      <c r="K9" s="959"/>
    </row>
    <row r="10" spans="1:11" ht="15.95" customHeight="1">
      <c r="A10" s="995"/>
      <c r="B10" s="996"/>
      <c r="C10" s="996"/>
      <c r="D10" s="996"/>
      <c r="E10" s="996"/>
      <c r="F10" s="996"/>
      <c r="G10" s="996"/>
      <c r="H10" s="996"/>
      <c r="I10" s="996"/>
      <c r="J10" s="996"/>
      <c r="K10" s="996"/>
    </row>
    <row r="11" spans="1:11" ht="15.95" customHeight="1">
      <c r="A11" s="994" t="s">
        <v>1559</v>
      </c>
      <c r="B11" s="959"/>
      <c r="C11" s="959"/>
      <c r="D11" s="959"/>
      <c r="E11" s="959"/>
      <c r="F11" s="959"/>
      <c r="G11" s="959"/>
      <c r="H11" s="959"/>
      <c r="I11" s="959"/>
      <c r="J11" s="959"/>
      <c r="K11" s="959"/>
    </row>
    <row r="12" spans="1:11" ht="15.95" customHeight="1">
      <c r="A12" s="997" t="s">
        <v>1860</v>
      </c>
      <c r="B12" s="996" t="s">
        <v>251</v>
      </c>
      <c r="C12" s="996" t="s">
        <v>345</v>
      </c>
      <c r="D12" s="996" t="s">
        <v>1861</v>
      </c>
      <c r="E12" s="996" t="s">
        <v>1862</v>
      </c>
      <c r="F12" s="998">
        <v>0.02</v>
      </c>
      <c r="G12" s="996"/>
      <c r="H12" s="999"/>
      <c r="I12" s="999"/>
      <c r="J12" s="996" t="s">
        <v>1863</v>
      </c>
      <c r="K12" s="1000">
        <f>2836200.99+438857</f>
        <v>3275057.99</v>
      </c>
    </row>
    <row r="13" spans="1:11" ht="15.95" customHeight="1">
      <c r="A13" s="997" t="s">
        <v>1864</v>
      </c>
      <c r="B13" s="996" t="s">
        <v>1865</v>
      </c>
      <c r="C13" s="996" t="s">
        <v>345</v>
      </c>
      <c r="D13" s="996"/>
      <c r="E13" s="998">
        <v>0.01</v>
      </c>
      <c r="F13" s="998">
        <v>7.0000000000000007E-2</v>
      </c>
      <c r="G13" s="996"/>
      <c r="H13" s="999"/>
      <c r="I13" s="1001"/>
      <c r="J13" s="996" t="s">
        <v>1863</v>
      </c>
      <c r="K13" s="1000">
        <v>1980062.43</v>
      </c>
    </row>
    <row r="14" spans="1:11" ht="15.95" customHeight="1">
      <c r="A14" s="997" t="s">
        <v>1761</v>
      </c>
      <c r="B14" s="996" t="s">
        <v>1739</v>
      </c>
      <c r="C14" s="996" t="s">
        <v>345</v>
      </c>
      <c r="D14" s="998" t="s">
        <v>1230</v>
      </c>
      <c r="E14" s="998">
        <v>0.14000000000000001</v>
      </c>
      <c r="F14" s="998">
        <v>0.18</v>
      </c>
      <c r="G14" s="996"/>
      <c r="H14" s="996"/>
      <c r="I14" s="996"/>
      <c r="J14" s="996" t="s">
        <v>1863</v>
      </c>
      <c r="K14" s="1000">
        <v>7461484.9000000004</v>
      </c>
    </row>
    <row r="15" spans="1:11" ht="15.95" customHeight="1">
      <c r="A15" s="997" t="s">
        <v>165</v>
      </c>
      <c r="B15" s="996" t="s">
        <v>1866</v>
      </c>
      <c r="C15" s="996" t="s">
        <v>345</v>
      </c>
      <c r="D15" s="996"/>
      <c r="E15" s="996"/>
      <c r="F15" s="996"/>
      <c r="G15" s="996"/>
      <c r="H15" s="999">
        <v>350</v>
      </c>
      <c r="I15" s="999">
        <v>5320</v>
      </c>
      <c r="J15" s="996" t="s">
        <v>1863</v>
      </c>
      <c r="K15" s="1000">
        <v>231570</v>
      </c>
    </row>
    <row r="16" spans="1:11" ht="15.95" customHeight="1">
      <c r="A16" s="997" t="s">
        <v>1867</v>
      </c>
      <c r="B16" s="996" t="s">
        <v>1866</v>
      </c>
      <c r="C16" s="996" t="s">
        <v>345</v>
      </c>
      <c r="D16" s="996"/>
      <c r="E16" s="996"/>
      <c r="F16" s="996"/>
      <c r="G16" s="996"/>
      <c r="H16" s="1002">
        <v>120000</v>
      </c>
      <c r="I16" s="1003">
        <v>190000</v>
      </c>
      <c r="J16" s="996" t="s">
        <v>1863</v>
      </c>
      <c r="K16" s="1000">
        <v>380000</v>
      </c>
    </row>
    <row r="17" spans="1:11" ht="15.95" customHeight="1">
      <c r="A17" s="997" t="s">
        <v>1868</v>
      </c>
      <c r="B17" s="996" t="s">
        <v>1869</v>
      </c>
      <c r="C17" s="996" t="s">
        <v>345</v>
      </c>
      <c r="D17" s="996"/>
      <c r="E17" s="996"/>
      <c r="F17" s="996"/>
      <c r="G17" s="996"/>
      <c r="H17" s="1004">
        <v>600</v>
      </c>
      <c r="I17" s="1004">
        <v>5990</v>
      </c>
      <c r="J17" s="996" t="s">
        <v>1863</v>
      </c>
      <c r="K17" s="1000">
        <v>32293.01</v>
      </c>
    </row>
    <row r="18" spans="1:11" ht="15.95" customHeight="1">
      <c r="A18" s="997" t="s">
        <v>784</v>
      </c>
      <c r="B18" s="996" t="s">
        <v>1866</v>
      </c>
      <c r="C18" s="996" t="s">
        <v>345</v>
      </c>
      <c r="D18" s="996"/>
      <c r="E18" s="996"/>
      <c r="F18" s="996"/>
      <c r="G18" s="996"/>
      <c r="H18" s="1005">
        <v>210</v>
      </c>
      <c r="I18" s="1005">
        <v>1930</v>
      </c>
      <c r="J18" s="996" t="s">
        <v>1863</v>
      </c>
      <c r="K18" s="1000">
        <v>0</v>
      </c>
    </row>
    <row r="19" spans="1:11" ht="15.95" customHeight="1">
      <c r="A19" s="997" t="s">
        <v>1870</v>
      </c>
      <c r="B19" s="996" t="s">
        <v>1871</v>
      </c>
      <c r="C19" s="996" t="s">
        <v>1871</v>
      </c>
      <c r="D19" s="996"/>
      <c r="E19" s="996"/>
      <c r="F19" s="996"/>
      <c r="G19" s="996"/>
      <c r="H19" s="1005">
        <v>200</v>
      </c>
      <c r="I19" s="1005">
        <v>1500</v>
      </c>
      <c r="J19" s="996" t="s">
        <v>1863</v>
      </c>
      <c r="K19" s="1000">
        <v>130788</v>
      </c>
    </row>
    <row r="20" spans="1:11" ht="15.95" customHeight="1">
      <c r="A20" s="997" t="s">
        <v>1872</v>
      </c>
      <c r="B20" s="996" t="s">
        <v>1041</v>
      </c>
      <c r="C20" s="996" t="s">
        <v>1041</v>
      </c>
      <c r="D20" s="996"/>
      <c r="E20" s="996"/>
      <c r="F20" s="996"/>
      <c r="G20" s="996"/>
      <c r="H20" s="1005"/>
      <c r="I20" s="1005"/>
      <c r="J20" s="996" t="s">
        <v>1863</v>
      </c>
      <c r="K20" s="1000">
        <v>19800</v>
      </c>
    </row>
    <row r="21" spans="1:11" s="177" customFormat="1" ht="15.95" customHeight="1">
      <c r="A21" s="1006" t="s">
        <v>1567</v>
      </c>
      <c r="B21" s="969"/>
      <c r="C21" s="969"/>
      <c r="D21" s="969"/>
      <c r="E21" s="969"/>
      <c r="F21" s="969"/>
      <c r="G21" s="969"/>
      <c r="H21" s="969"/>
      <c r="I21" s="969"/>
      <c r="J21" s="969"/>
      <c r="K21" s="1007"/>
    </row>
    <row r="22" spans="1:11" s="732" customFormat="1" ht="15.95" customHeight="1">
      <c r="A22" s="1006"/>
      <c r="B22" s="980"/>
      <c r="C22" s="980"/>
      <c r="D22" s="980"/>
      <c r="E22" s="980"/>
      <c r="F22" s="980"/>
      <c r="G22" s="980"/>
      <c r="H22" s="980"/>
      <c r="I22" s="980"/>
      <c r="J22" s="980"/>
      <c r="K22" s="1008"/>
    </row>
    <row r="23" spans="1:11" ht="15.95" customHeight="1">
      <c r="A23" s="997" t="s">
        <v>1568</v>
      </c>
      <c r="B23" s="959"/>
      <c r="C23" s="959"/>
      <c r="D23" s="959"/>
      <c r="E23" s="959"/>
      <c r="F23" s="959"/>
      <c r="G23" s="959"/>
      <c r="H23" s="959"/>
      <c r="I23" s="959"/>
      <c r="J23" s="959"/>
      <c r="K23" s="1009"/>
    </row>
    <row r="24" spans="1:11" ht="15.95" customHeight="1">
      <c r="A24" s="997" t="s">
        <v>1478</v>
      </c>
      <c r="C24" s="996" t="s">
        <v>1041</v>
      </c>
      <c r="D24" s="996"/>
      <c r="E24" s="996"/>
      <c r="F24" s="996"/>
      <c r="G24" s="999">
        <v>770</v>
      </c>
      <c r="H24" s="996"/>
      <c r="I24" s="996"/>
      <c r="J24" s="996" t="s">
        <v>1863</v>
      </c>
      <c r="K24" s="1010">
        <v>1600</v>
      </c>
    </row>
    <row r="25" spans="1:11" ht="15.95" customHeight="1">
      <c r="A25" s="997" t="s">
        <v>1873</v>
      </c>
      <c r="C25" s="996" t="s">
        <v>1871</v>
      </c>
      <c r="D25" s="996"/>
      <c r="E25" s="996"/>
      <c r="F25" s="996"/>
      <c r="G25" s="999" t="s">
        <v>1230</v>
      </c>
      <c r="H25" s="999">
        <v>490</v>
      </c>
      <c r="I25" s="999">
        <v>1680</v>
      </c>
      <c r="J25" s="996" t="s">
        <v>1863</v>
      </c>
      <c r="K25" s="1010">
        <v>0</v>
      </c>
    </row>
    <row r="26" spans="1:11" ht="15.95" customHeight="1">
      <c r="A26" s="997" t="s">
        <v>1874</v>
      </c>
      <c r="B26" s="996" t="s">
        <v>1041</v>
      </c>
      <c r="C26" s="996" t="s">
        <v>1875</v>
      </c>
      <c r="D26" s="996"/>
      <c r="E26" s="996"/>
      <c r="F26" s="996"/>
      <c r="G26" s="999" t="s">
        <v>1230</v>
      </c>
      <c r="H26" s="999">
        <v>560</v>
      </c>
      <c r="I26" s="999">
        <v>4940</v>
      </c>
      <c r="J26" s="996" t="s">
        <v>1863</v>
      </c>
      <c r="K26" s="1010">
        <v>23750</v>
      </c>
    </row>
    <row r="27" spans="1:11" ht="15.95" customHeight="1">
      <c r="A27" s="997" t="s">
        <v>172</v>
      </c>
      <c r="B27" s="996" t="s">
        <v>1871</v>
      </c>
      <c r="C27" s="996" t="s">
        <v>1875</v>
      </c>
      <c r="D27" s="996"/>
      <c r="E27" s="996"/>
      <c r="F27" s="996"/>
      <c r="G27" s="999"/>
      <c r="H27" s="999">
        <v>420</v>
      </c>
      <c r="I27" s="999">
        <v>2220</v>
      </c>
      <c r="J27" s="996" t="s">
        <v>1863</v>
      </c>
      <c r="K27" s="1010">
        <v>498110</v>
      </c>
    </row>
    <row r="28" spans="1:11" ht="15.95" customHeight="1">
      <c r="A28" s="997" t="s">
        <v>155</v>
      </c>
      <c r="B28" s="996" t="s">
        <v>1041</v>
      </c>
      <c r="C28" s="996" t="s">
        <v>1876</v>
      </c>
      <c r="D28" s="996"/>
      <c r="E28" s="996"/>
      <c r="F28" s="996"/>
      <c r="G28" s="999"/>
      <c r="H28" s="999">
        <v>500</v>
      </c>
      <c r="I28" s="999">
        <v>6000</v>
      </c>
      <c r="J28" s="996" t="s">
        <v>1863</v>
      </c>
      <c r="K28" s="1010">
        <v>4000</v>
      </c>
    </row>
    <row r="29" spans="1:11" ht="15.95" customHeight="1">
      <c r="A29" s="997" t="s">
        <v>1877</v>
      </c>
      <c r="B29" s="996" t="s">
        <v>1871</v>
      </c>
      <c r="C29" s="996" t="s">
        <v>1876</v>
      </c>
      <c r="D29" s="996" t="s">
        <v>1230</v>
      </c>
      <c r="E29" s="996"/>
      <c r="F29" s="996"/>
      <c r="G29" s="999"/>
      <c r="H29" s="999">
        <v>1820</v>
      </c>
      <c r="I29" s="999">
        <v>5250</v>
      </c>
      <c r="J29" s="996" t="s">
        <v>1863</v>
      </c>
      <c r="K29" s="1010">
        <v>124797.57</v>
      </c>
    </row>
    <row r="30" spans="1:11" ht="15.95" customHeight="1">
      <c r="A30" s="997" t="s">
        <v>1574</v>
      </c>
      <c r="B30" s="959"/>
      <c r="C30" s="959"/>
      <c r="D30" s="959"/>
      <c r="E30" s="959"/>
      <c r="F30" s="959"/>
      <c r="G30" s="1011"/>
      <c r="H30" s="1011"/>
      <c r="I30" s="1011"/>
      <c r="J30" s="959"/>
      <c r="K30" s="1009"/>
    </row>
    <row r="31" spans="1:11" s="399" customFormat="1" ht="15.95" customHeight="1">
      <c r="A31" s="997"/>
      <c r="B31" s="996"/>
      <c r="C31" s="996"/>
      <c r="D31" s="996"/>
      <c r="E31" s="996"/>
      <c r="F31" s="996"/>
      <c r="G31" s="999"/>
      <c r="H31" s="999"/>
      <c r="I31" s="999"/>
      <c r="J31" s="996"/>
      <c r="K31" s="1000"/>
    </row>
    <row r="32" spans="1:11" ht="15.95" customHeight="1">
      <c r="A32" s="997" t="s">
        <v>1579</v>
      </c>
      <c r="B32" s="959"/>
      <c r="C32" s="959"/>
      <c r="D32" s="959"/>
      <c r="E32" s="959"/>
      <c r="F32" s="959"/>
      <c r="G32" s="1011"/>
      <c r="H32" s="1011"/>
      <c r="I32" s="1011"/>
      <c r="J32" s="959"/>
      <c r="K32" s="1009"/>
    </row>
    <row r="33" spans="1:11" s="399" customFormat="1" ht="15.95" customHeight="1">
      <c r="A33" s="997" t="s">
        <v>1436</v>
      </c>
      <c r="B33" s="996" t="s">
        <v>1878</v>
      </c>
      <c r="C33" s="996" t="s">
        <v>1875</v>
      </c>
      <c r="D33" s="996"/>
      <c r="E33" s="996"/>
      <c r="F33" s="996"/>
      <c r="G33" s="999"/>
      <c r="H33" s="1004">
        <v>420</v>
      </c>
      <c r="I33" s="1004">
        <v>770</v>
      </c>
      <c r="J33" s="996" t="s">
        <v>1863</v>
      </c>
      <c r="K33" s="1000">
        <v>73670</v>
      </c>
    </row>
    <row r="34" spans="1:11" s="399" customFormat="1" ht="15.95" customHeight="1">
      <c r="A34" s="997"/>
      <c r="B34" s="996"/>
      <c r="C34" s="996"/>
      <c r="D34" s="996"/>
      <c r="E34" s="996"/>
      <c r="F34" s="996"/>
      <c r="G34" s="999"/>
      <c r="H34" s="999"/>
      <c r="I34" s="999"/>
      <c r="J34" s="996"/>
      <c r="K34" s="1000"/>
    </row>
    <row r="35" spans="1:11" s="177" customFormat="1" ht="15.95" customHeight="1">
      <c r="A35" s="1006" t="s">
        <v>1879</v>
      </c>
      <c r="B35" s="969"/>
      <c r="C35" s="969"/>
      <c r="D35" s="969"/>
      <c r="E35" s="969"/>
      <c r="F35" s="969"/>
      <c r="G35" s="1012"/>
      <c r="H35" s="1012"/>
      <c r="I35" s="1012"/>
      <c r="J35" s="969"/>
      <c r="K35" s="1007"/>
    </row>
    <row r="36" spans="1:11" s="732" customFormat="1" ht="15.95" customHeight="1">
      <c r="A36" s="997" t="s">
        <v>1880</v>
      </c>
      <c r="B36" s="980"/>
      <c r="C36" s="980"/>
      <c r="D36" s="980"/>
      <c r="E36" s="980"/>
      <c r="F36" s="980"/>
      <c r="G36" s="1013"/>
      <c r="H36" s="1013"/>
      <c r="I36" s="1013"/>
      <c r="J36" s="996" t="s">
        <v>1881</v>
      </c>
      <c r="K36" s="1008">
        <v>230413</v>
      </c>
    </row>
    <row r="37" spans="1:11" s="732" customFormat="1" ht="15.95" customHeight="1">
      <c r="A37" s="997" t="s">
        <v>1882</v>
      </c>
      <c r="B37" s="980"/>
      <c r="C37" s="980"/>
      <c r="D37" s="980"/>
      <c r="E37" s="980"/>
      <c r="F37" s="980"/>
      <c r="G37" s="1013"/>
      <c r="H37" s="1013"/>
      <c r="I37" s="1013"/>
      <c r="J37" s="996" t="s">
        <v>1881</v>
      </c>
      <c r="K37" s="1008">
        <v>627054.77</v>
      </c>
    </row>
    <row r="38" spans="1:11" s="732" customFormat="1" ht="15.95" customHeight="1">
      <c r="A38" s="997" t="s">
        <v>1883</v>
      </c>
      <c r="B38" s="980"/>
      <c r="C38" s="980"/>
      <c r="D38" s="980"/>
      <c r="E38" s="980"/>
      <c r="F38" s="980"/>
      <c r="G38" s="1013"/>
      <c r="H38" s="1013"/>
      <c r="I38" s="1013"/>
      <c r="J38" s="996" t="s">
        <v>1863</v>
      </c>
      <c r="K38" s="1008">
        <v>54243.26</v>
      </c>
    </row>
    <row r="39" spans="1:11" ht="15.95" customHeight="1">
      <c r="A39" s="997" t="s">
        <v>1230</v>
      </c>
      <c r="B39" s="959"/>
      <c r="C39" s="959"/>
      <c r="D39" s="959"/>
      <c r="E39" s="959"/>
      <c r="F39" s="959"/>
      <c r="G39" s="1011"/>
      <c r="H39" s="1011"/>
      <c r="I39" s="1011"/>
      <c r="J39" s="959"/>
      <c r="K39" s="1009"/>
    </row>
    <row r="40" spans="1:11" ht="15.95" customHeight="1">
      <c r="A40" s="1014"/>
      <c r="B40" s="985"/>
      <c r="C40" s="985"/>
      <c r="D40" s="985"/>
      <c r="E40" s="985"/>
      <c r="F40" s="985"/>
      <c r="G40" s="985"/>
      <c r="H40" s="985"/>
      <c r="I40" s="985"/>
      <c r="J40" s="985"/>
      <c r="K40" s="1015">
        <f>SUM(K10:K39)</f>
        <v>15148694.93</v>
      </c>
    </row>
    <row r="41" spans="1:11">
      <c r="A41" s="1016"/>
      <c r="B41" s="1017"/>
      <c r="C41" s="1017"/>
      <c r="D41" s="1017"/>
      <c r="E41" s="1017"/>
      <c r="F41" s="1017"/>
      <c r="G41" s="1017"/>
      <c r="H41" s="1017"/>
      <c r="I41" s="1017"/>
      <c r="J41" s="1017"/>
      <c r="K41" s="1017" t="s">
        <v>1230</v>
      </c>
    </row>
    <row r="42" spans="1:11">
      <c r="K42" s="1018" t="s">
        <v>1230</v>
      </c>
    </row>
    <row r="43" spans="1:11">
      <c r="K43" t="s">
        <v>1230</v>
      </c>
    </row>
    <row r="44" spans="1:11">
      <c r="K44" s="1018" t="s">
        <v>1230</v>
      </c>
    </row>
    <row r="45" spans="1:11">
      <c r="K45" t="s">
        <v>1230</v>
      </c>
    </row>
    <row r="46" spans="1:11">
      <c r="K46" s="1018" t="s">
        <v>1230</v>
      </c>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9" scale="84" orientation="landscape"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4"/>
  <dimension ref="A1:M193"/>
  <sheetViews>
    <sheetView showGridLines="0" view="pageBreakPreview" zoomScaleNormal="100" zoomScaleSheetLayoutView="100" workbookViewId="0">
      <pane xSplit="1" ySplit="8" topLeftCell="D9" activePane="bottomRight" state="frozen"/>
      <selection pane="topRight"/>
      <selection pane="bottomLeft"/>
      <selection pane="bottomRight"/>
    </sheetView>
  </sheetViews>
  <sheetFormatPr baseColWidth="10" defaultRowHeight="15"/>
  <cols>
    <col min="1" max="1" width="73.28515625" customWidth="1"/>
    <col min="2" max="2" width="27.140625" bestFit="1" customWidth="1"/>
    <col min="3" max="6" width="17.7109375" customWidth="1"/>
    <col min="7" max="9" width="17.7109375" style="1052" customWidth="1"/>
    <col min="10" max="10" width="41.5703125" customWidth="1"/>
    <col min="11" max="11" width="17.7109375" customWidth="1"/>
    <col min="12" max="12" width="1.28515625" customWidth="1"/>
    <col min="13" max="13" width="49.5703125" customWidth="1"/>
  </cols>
  <sheetData>
    <row r="1" spans="1:13" s="177" customFormat="1">
      <c r="A1" s="1019" t="s">
        <v>235</v>
      </c>
      <c r="B1" s="179"/>
      <c r="C1" s="179"/>
      <c r="D1" s="179"/>
      <c r="E1" s="179"/>
      <c r="F1" s="179"/>
      <c r="G1" s="1020"/>
      <c r="H1" s="1020"/>
      <c r="I1" s="1020"/>
      <c r="J1" s="179"/>
      <c r="K1" s="180" t="s">
        <v>234</v>
      </c>
    </row>
    <row r="2" spans="1:13" s="177" customFormat="1">
      <c r="A2" s="1021" t="s">
        <v>1884</v>
      </c>
      <c r="G2" s="1022"/>
      <c r="H2" s="1022"/>
      <c r="I2" s="1022"/>
      <c r="K2" s="180"/>
    </row>
    <row r="3" spans="1:13" s="177" customFormat="1">
      <c r="A3" s="1023" t="s">
        <v>1885</v>
      </c>
      <c r="B3" s="179"/>
      <c r="C3" s="179"/>
      <c r="D3" s="179"/>
      <c r="E3" s="179"/>
      <c r="F3" s="179"/>
      <c r="G3" s="1020"/>
      <c r="H3" s="1020"/>
      <c r="I3" s="1020"/>
      <c r="J3" s="179"/>
      <c r="K3" s="179"/>
    </row>
    <row r="4" spans="1:13" s="177" customFormat="1">
      <c r="A4" s="1019" t="s">
        <v>232</v>
      </c>
      <c r="B4" s="179"/>
      <c r="C4" s="179"/>
      <c r="D4" s="179"/>
      <c r="E4" s="179"/>
      <c r="F4" s="179"/>
      <c r="G4" s="1020"/>
      <c r="H4" s="1020"/>
      <c r="I4" s="1020"/>
      <c r="J4" s="179"/>
      <c r="K4" s="179"/>
    </row>
    <row r="5" spans="1:13" s="177" customFormat="1">
      <c r="A5" s="1021" t="s">
        <v>1886</v>
      </c>
      <c r="G5" s="1022"/>
      <c r="H5" s="1022"/>
      <c r="I5" s="1022"/>
    </row>
    <row r="6" spans="1:13" s="177" customFormat="1">
      <c r="A6" s="184" t="s">
        <v>228</v>
      </c>
      <c r="B6" s="184" t="s">
        <v>227</v>
      </c>
      <c r="C6" s="184" t="s">
        <v>226</v>
      </c>
      <c r="D6" s="184"/>
      <c r="E6" s="183" t="s">
        <v>225</v>
      </c>
      <c r="F6" s="183"/>
      <c r="G6" s="1024" t="s">
        <v>224</v>
      </c>
      <c r="H6" s="1474" t="s">
        <v>223</v>
      </c>
      <c r="I6" s="1474"/>
      <c r="J6" s="184" t="s">
        <v>222</v>
      </c>
      <c r="K6" s="184" t="s">
        <v>221</v>
      </c>
    </row>
    <row r="7" spans="1:13" s="186" customFormat="1">
      <c r="A7" s="1382" t="s">
        <v>220</v>
      </c>
      <c r="B7" s="1379" t="s">
        <v>219</v>
      </c>
      <c r="C7" s="1379" t="s">
        <v>218</v>
      </c>
      <c r="D7" s="1379" t="s">
        <v>217</v>
      </c>
      <c r="E7" s="1379" t="s">
        <v>216</v>
      </c>
      <c r="F7" s="1379"/>
      <c r="G7" s="1472" t="s">
        <v>215</v>
      </c>
      <c r="H7" s="1472" t="s">
        <v>214</v>
      </c>
      <c r="I7" s="1472"/>
      <c r="J7" s="1379" t="s">
        <v>240</v>
      </c>
      <c r="K7" s="1380" t="s">
        <v>212</v>
      </c>
      <c r="M7" s="1473" t="s">
        <v>1887</v>
      </c>
    </row>
    <row r="8" spans="1:13" s="186" customFormat="1">
      <c r="A8" s="1382"/>
      <c r="B8" s="1379"/>
      <c r="C8" s="1379"/>
      <c r="D8" s="1379"/>
      <c r="E8" s="187" t="s">
        <v>211</v>
      </c>
      <c r="F8" s="187" t="s">
        <v>210</v>
      </c>
      <c r="G8" s="1472"/>
      <c r="H8" s="1025" t="s">
        <v>211</v>
      </c>
      <c r="I8" s="1025" t="s">
        <v>210</v>
      </c>
      <c r="J8" s="1379"/>
      <c r="K8" s="1380"/>
      <c r="M8" s="1473"/>
    </row>
    <row r="9" spans="1:13" ht="15.95" customHeight="1">
      <c r="A9" s="188" t="s">
        <v>1558</v>
      </c>
      <c r="B9" s="189"/>
      <c r="C9" s="189"/>
      <c r="D9" s="189"/>
      <c r="E9" s="189"/>
      <c r="F9" s="189"/>
      <c r="G9" s="189"/>
      <c r="H9" s="189"/>
      <c r="I9" s="189"/>
      <c r="J9" s="189"/>
      <c r="K9" s="190">
        <f>+K10</f>
        <v>0</v>
      </c>
    </row>
    <row r="10" spans="1:13" ht="15.95" customHeight="1">
      <c r="A10" s="1026" t="s">
        <v>1888</v>
      </c>
      <c r="B10" s="996"/>
      <c r="C10" s="996"/>
      <c r="D10" s="996"/>
      <c r="E10" s="996"/>
      <c r="F10" s="996"/>
      <c r="G10" s="1027"/>
      <c r="H10" s="1027"/>
      <c r="I10" s="1027"/>
      <c r="J10" s="996"/>
      <c r="K10" s="1027"/>
    </row>
    <row r="11" spans="1:13" ht="15.95" customHeight="1">
      <c r="A11" s="1026"/>
      <c r="B11" s="996"/>
      <c r="C11" s="996"/>
      <c r="D11" s="996"/>
      <c r="E11" s="996"/>
      <c r="F11" s="996"/>
      <c r="G11" s="1027"/>
      <c r="H11" s="1027"/>
      <c r="I11" s="1027"/>
      <c r="J11" s="996"/>
      <c r="K11" s="1027"/>
    </row>
    <row r="12" spans="1:13" ht="15.95" customHeight="1">
      <c r="A12" s="188" t="s">
        <v>1559</v>
      </c>
      <c r="B12" s="189"/>
      <c r="C12" s="189"/>
      <c r="D12" s="189"/>
      <c r="E12" s="189"/>
      <c r="F12" s="189"/>
      <c r="G12" s="189"/>
      <c r="H12" s="189"/>
      <c r="I12" s="189"/>
      <c r="J12" s="189"/>
      <c r="K12" s="190">
        <f>SUM(K13:K26)</f>
        <v>119026149.73000002</v>
      </c>
    </row>
    <row r="13" spans="1:13" ht="15.75" customHeight="1">
      <c r="A13" s="1026" t="s">
        <v>1889</v>
      </c>
      <c r="B13" s="996" t="s">
        <v>1890</v>
      </c>
      <c r="C13" s="996" t="s">
        <v>345</v>
      </c>
      <c r="D13" s="1028">
        <v>1.4E-2</v>
      </c>
      <c r="E13" s="1029">
        <v>1.5E-3</v>
      </c>
      <c r="F13" s="998">
        <v>0.04</v>
      </c>
      <c r="G13" s="1027">
        <v>0</v>
      </c>
      <c r="H13" s="1030">
        <v>875</v>
      </c>
      <c r="I13" s="1030">
        <v>13166.67</v>
      </c>
      <c r="J13" s="996" t="s">
        <v>1891</v>
      </c>
      <c r="K13" s="1027">
        <f>+[1]HOJA1!$E$8+[1]HOJA1!$E$9</f>
        <v>39358739.700000003</v>
      </c>
      <c r="M13" t="s">
        <v>1892</v>
      </c>
    </row>
    <row r="14" spans="1:13" ht="15.75" customHeight="1">
      <c r="A14" s="1026" t="s">
        <v>347</v>
      </c>
      <c r="B14" s="996" t="s">
        <v>1893</v>
      </c>
      <c r="C14" s="996" t="s">
        <v>1894</v>
      </c>
      <c r="D14" s="1028" t="s">
        <v>185</v>
      </c>
      <c r="E14" s="1028" t="s">
        <v>185</v>
      </c>
      <c r="F14" s="1028" t="s">
        <v>185</v>
      </c>
      <c r="G14" s="1027">
        <v>0</v>
      </c>
      <c r="H14" s="1027">
        <v>17.34</v>
      </c>
      <c r="I14" s="1027">
        <v>166.14</v>
      </c>
      <c r="J14" s="996" t="s">
        <v>1895</v>
      </c>
      <c r="K14" s="1027">
        <f>[1]HOJA1!$E$6+[1]HOJA1!$E$7</f>
        <v>28148274.57</v>
      </c>
      <c r="M14" t="s">
        <v>1896</v>
      </c>
    </row>
    <row r="15" spans="1:13" ht="15.75" customHeight="1">
      <c r="A15" s="1026" t="s">
        <v>1897</v>
      </c>
      <c r="B15" s="996" t="s">
        <v>1898</v>
      </c>
      <c r="C15" s="996" t="s">
        <v>367</v>
      </c>
      <c r="D15" s="996" t="s">
        <v>185</v>
      </c>
      <c r="E15" s="996"/>
      <c r="F15" s="996"/>
      <c r="G15" s="1027">
        <v>0</v>
      </c>
      <c r="H15" s="1030"/>
      <c r="I15" s="1030"/>
      <c r="J15" s="996" t="s">
        <v>1899</v>
      </c>
      <c r="K15" s="1027">
        <f>[1]HOJA1!$E$37+[1]HOJA1!$E$38</f>
        <v>14361160.549999999</v>
      </c>
      <c r="M15" t="s">
        <v>1896</v>
      </c>
    </row>
    <row r="16" spans="1:13" ht="15.75" customHeight="1">
      <c r="A16" s="1026" t="s">
        <v>1900</v>
      </c>
      <c r="B16" s="996" t="s">
        <v>1901</v>
      </c>
      <c r="C16" s="996" t="s">
        <v>1902</v>
      </c>
      <c r="D16" s="1028">
        <v>0.2</v>
      </c>
      <c r="E16" s="996"/>
      <c r="F16" s="996"/>
      <c r="G16" s="1027">
        <v>0</v>
      </c>
      <c r="H16" s="1027"/>
      <c r="I16" s="1027"/>
      <c r="J16" s="996" t="s">
        <v>1903</v>
      </c>
      <c r="K16" s="1031">
        <f>+[1]HOJA1!$E$16</f>
        <v>13667372.92</v>
      </c>
      <c r="M16" t="s">
        <v>1904</v>
      </c>
    </row>
    <row r="17" spans="1:13" ht="15.75" customHeight="1">
      <c r="A17" s="1026" t="s">
        <v>1905</v>
      </c>
      <c r="B17" s="996" t="s">
        <v>1906</v>
      </c>
      <c r="C17" s="996" t="s">
        <v>345</v>
      </c>
      <c r="D17" s="1032">
        <v>8.6956000000000006E-2</v>
      </c>
      <c r="E17" s="996"/>
      <c r="F17" s="996"/>
      <c r="G17" s="1027">
        <v>0</v>
      </c>
      <c r="H17" s="1027"/>
      <c r="I17" s="1027"/>
      <c r="J17" s="1033" t="s">
        <v>1907</v>
      </c>
      <c r="K17" s="1027">
        <f>+[1]HOJA1!$E$34</f>
        <v>7796980.2699999996</v>
      </c>
      <c r="M17" t="s">
        <v>1908</v>
      </c>
    </row>
    <row r="18" spans="1:13" ht="15.75" customHeight="1">
      <c r="A18" s="1034" t="s">
        <v>1909</v>
      </c>
      <c r="B18" s="996" t="s">
        <v>1906</v>
      </c>
      <c r="C18" s="996" t="s">
        <v>345</v>
      </c>
      <c r="D18" s="996" t="s">
        <v>185</v>
      </c>
      <c r="E18" s="998">
        <v>0.04</v>
      </c>
      <c r="F18" s="998">
        <v>0.16</v>
      </c>
      <c r="G18" s="1027">
        <v>0</v>
      </c>
      <c r="H18" s="1027"/>
      <c r="I18" s="1027"/>
      <c r="J18" s="996" t="s">
        <v>1910</v>
      </c>
      <c r="K18" s="1027">
        <f>[1]HOJA1!$E$20</f>
        <v>7276463.6200000001</v>
      </c>
      <c r="M18" t="s">
        <v>1911</v>
      </c>
    </row>
    <row r="19" spans="1:13" ht="15.75" customHeight="1">
      <c r="A19" s="1026" t="s">
        <v>1912</v>
      </c>
      <c r="B19" s="996" t="s">
        <v>1913</v>
      </c>
      <c r="C19" s="996" t="s">
        <v>367</v>
      </c>
      <c r="D19" s="998">
        <v>0.2</v>
      </c>
      <c r="E19" s="996"/>
      <c r="F19" s="996"/>
      <c r="G19" s="1027">
        <v>0</v>
      </c>
      <c r="H19" s="1027"/>
      <c r="I19" s="1027"/>
      <c r="J19" s="996" t="s">
        <v>1914</v>
      </c>
      <c r="K19" s="1027">
        <f>+[1]HOJA1!$E$40</f>
        <v>2910336.43</v>
      </c>
      <c r="M19" t="s">
        <v>1915</v>
      </c>
    </row>
    <row r="20" spans="1:13" ht="15.75" customHeight="1">
      <c r="A20" s="1026" t="s">
        <v>1916</v>
      </c>
      <c r="B20" s="996" t="s">
        <v>1917</v>
      </c>
      <c r="C20" s="996" t="s">
        <v>1918</v>
      </c>
      <c r="D20" s="1028">
        <v>0.06</v>
      </c>
      <c r="E20" s="996"/>
      <c r="F20" s="996"/>
      <c r="G20" s="1027">
        <v>0</v>
      </c>
      <c r="H20" s="1027"/>
      <c r="I20" s="1027"/>
      <c r="J20" s="996" t="s">
        <v>1919</v>
      </c>
      <c r="K20" s="1031">
        <f>+[1]HOJA1!$E$17</f>
        <v>1688948.59</v>
      </c>
      <c r="M20" t="s">
        <v>1920</v>
      </c>
    </row>
    <row r="21" spans="1:13" ht="15.75" customHeight="1">
      <c r="A21" s="1026" t="s">
        <v>1921</v>
      </c>
      <c r="B21" s="996" t="s">
        <v>1922</v>
      </c>
      <c r="C21" s="996" t="s">
        <v>367</v>
      </c>
      <c r="D21" s="996" t="s">
        <v>185</v>
      </c>
      <c r="E21" s="996"/>
      <c r="F21" s="996"/>
      <c r="G21" s="1027">
        <v>0</v>
      </c>
      <c r="H21" s="1027">
        <v>50</v>
      </c>
      <c r="I21" s="1027">
        <v>78</v>
      </c>
      <c r="J21" s="996" t="s">
        <v>1923</v>
      </c>
      <c r="K21" s="1027">
        <f>+[1]HOJA1!$E$53</f>
        <v>1657968.74</v>
      </c>
      <c r="M21" t="s">
        <v>1924</v>
      </c>
    </row>
    <row r="22" spans="1:13" ht="15.75" customHeight="1">
      <c r="A22" s="1026" t="s">
        <v>1925</v>
      </c>
      <c r="B22" s="996" t="s">
        <v>1926</v>
      </c>
      <c r="C22" s="996" t="s">
        <v>345</v>
      </c>
      <c r="D22" s="996" t="s">
        <v>185</v>
      </c>
      <c r="E22" s="996"/>
      <c r="F22" s="996"/>
      <c r="G22" s="1027">
        <v>0</v>
      </c>
      <c r="H22" s="1027">
        <v>3330</v>
      </c>
      <c r="I22" s="1027">
        <v>14500</v>
      </c>
      <c r="J22" s="996" t="s">
        <v>1927</v>
      </c>
      <c r="K22" s="1027">
        <f>+[1]HOJA1!$E$56</f>
        <v>695330</v>
      </c>
    </row>
    <row r="23" spans="1:13" ht="15.75" customHeight="1">
      <c r="A23" s="1026" t="s">
        <v>1928</v>
      </c>
      <c r="B23" s="996" t="s">
        <v>1929</v>
      </c>
      <c r="C23" s="996" t="s">
        <v>345</v>
      </c>
      <c r="D23" s="998">
        <v>0.06</v>
      </c>
      <c r="E23" s="996"/>
      <c r="F23" s="996"/>
      <c r="G23" s="1027">
        <v>0</v>
      </c>
      <c r="H23" s="1027"/>
      <c r="I23" s="1027"/>
      <c r="J23" s="996" t="s">
        <v>1930</v>
      </c>
      <c r="K23" s="1027">
        <f>+[1]HOJA1!$E$48+[1]HOJA1!$E$49</f>
        <v>582253.89</v>
      </c>
      <c r="M23" t="s">
        <v>1931</v>
      </c>
    </row>
    <row r="24" spans="1:13" ht="15.75" customHeight="1">
      <c r="A24" s="1026" t="s">
        <v>1932</v>
      </c>
      <c r="B24" s="996" t="s">
        <v>1933</v>
      </c>
      <c r="C24" s="996" t="s">
        <v>352</v>
      </c>
      <c r="D24" s="996" t="s">
        <v>185</v>
      </c>
      <c r="E24" s="996"/>
      <c r="F24" s="996"/>
      <c r="G24" s="1027">
        <v>0</v>
      </c>
      <c r="H24" s="1027">
        <v>34300</v>
      </c>
      <c r="I24" s="1027">
        <v>190000</v>
      </c>
      <c r="J24" s="996" t="s">
        <v>1934</v>
      </c>
      <c r="K24" s="1027">
        <f>+[1]HOJA1!$E$51</f>
        <v>570000</v>
      </c>
      <c r="M24" t="s">
        <v>1935</v>
      </c>
    </row>
    <row r="25" spans="1:13" ht="15.75" customHeight="1">
      <c r="A25" s="1026" t="s">
        <v>1936</v>
      </c>
      <c r="B25" s="996" t="s">
        <v>1937</v>
      </c>
      <c r="C25" s="996" t="s">
        <v>345</v>
      </c>
      <c r="D25" s="996" t="s">
        <v>185</v>
      </c>
      <c r="E25" s="996"/>
      <c r="F25" s="996"/>
      <c r="G25" s="1027">
        <v>0</v>
      </c>
      <c r="H25" s="1027"/>
      <c r="I25" s="1027"/>
      <c r="J25" s="996" t="s">
        <v>1938</v>
      </c>
      <c r="K25" s="1027">
        <f>+[1]HOJA1!$E$76</f>
        <v>312320.45</v>
      </c>
    </row>
    <row r="26" spans="1:13" ht="15.75" customHeight="1">
      <c r="A26" s="1026"/>
      <c r="B26" s="996"/>
      <c r="C26" s="996"/>
      <c r="D26" s="996"/>
      <c r="E26" s="996"/>
      <c r="F26" s="996"/>
      <c r="G26" s="1027"/>
      <c r="H26" s="1027"/>
      <c r="I26" s="1027"/>
      <c r="J26" s="996"/>
      <c r="K26" s="1027"/>
    </row>
    <row r="27" spans="1:13" ht="15.95" customHeight="1">
      <c r="A27" s="188" t="s">
        <v>1567</v>
      </c>
      <c r="B27" s="189"/>
      <c r="C27" s="189"/>
      <c r="D27" s="189"/>
      <c r="E27" s="189"/>
      <c r="F27" s="189"/>
      <c r="G27" s="189"/>
      <c r="H27" s="189"/>
      <c r="I27" s="189"/>
      <c r="J27" s="189"/>
      <c r="K27" s="190">
        <f>SUM(K28:K33)</f>
        <v>9312388.7000000011</v>
      </c>
    </row>
    <row r="28" spans="1:13" s="732" customFormat="1" ht="15.95" customHeight="1">
      <c r="A28" s="1035" t="s">
        <v>1939</v>
      </c>
      <c r="B28" s="980" t="s">
        <v>1940</v>
      </c>
      <c r="C28" s="980" t="s">
        <v>345</v>
      </c>
      <c r="D28" s="980" t="s">
        <v>185</v>
      </c>
      <c r="E28" s="980"/>
      <c r="F28" s="980"/>
      <c r="G28" s="1031">
        <v>0</v>
      </c>
      <c r="H28" s="1031"/>
      <c r="I28" s="1031"/>
      <c r="J28" s="996" t="s">
        <v>1941</v>
      </c>
      <c r="K28" s="1027">
        <f>+[1]HOJA1!$E$41</f>
        <v>7488291.6600000001</v>
      </c>
      <c r="M28" s="732" t="s">
        <v>1942</v>
      </c>
    </row>
    <row r="29" spans="1:13" s="732" customFormat="1" ht="15.95" customHeight="1">
      <c r="A29" s="1026" t="s">
        <v>1943</v>
      </c>
      <c r="B29" s="980" t="s">
        <v>1940</v>
      </c>
      <c r="C29" s="980" t="s">
        <v>345</v>
      </c>
      <c r="D29" s="980" t="s">
        <v>185</v>
      </c>
      <c r="E29" s="980"/>
      <c r="F29" s="980"/>
      <c r="G29" s="1031">
        <v>0</v>
      </c>
      <c r="H29" s="1031"/>
      <c r="I29" s="1031"/>
      <c r="J29" s="996" t="s">
        <v>1941</v>
      </c>
      <c r="K29" s="1027">
        <f>+[1]HOJA1!$E$44</f>
        <v>1189152.6000000001</v>
      </c>
      <c r="L29" s="177"/>
      <c r="M29" s="177" t="s">
        <v>1942</v>
      </c>
    </row>
    <row r="30" spans="1:13" s="732" customFormat="1" ht="15.95" customHeight="1">
      <c r="A30" s="1035" t="s">
        <v>1944</v>
      </c>
      <c r="B30" s="980" t="s">
        <v>1940</v>
      </c>
      <c r="C30" s="980" t="s">
        <v>345</v>
      </c>
      <c r="D30" s="980" t="s">
        <v>185</v>
      </c>
      <c r="E30" s="980"/>
      <c r="F30" s="980"/>
      <c r="G30" s="1031">
        <v>0</v>
      </c>
      <c r="H30" s="1031"/>
      <c r="I30" s="1031"/>
      <c r="J30" s="996" t="s">
        <v>1941</v>
      </c>
      <c r="K30" s="1027">
        <f>+[1]HOJA1!$E$43</f>
        <v>408565.83</v>
      </c>
      <c r="M30" s="732" t="s">
        <v>1942</v>
      </c>
    </row>
    <row r="31" spans="1:13" s="177" customFormat="1" ht="15.95" customHeight="1">
      <c r="A31" s="1026" t="s">
        <v>1945</v>
      </c>
      <c r="B31" s="980" t="s">
        <v>1940</v>
      </c>
      <c r="C31" s="980" t="s">
        <v>345</v>
      </c>
      <c r="D31" s="980" t="s">
        <v>185</v>
      </c>
      <c r="E31" s="980"/>
      <c r="F31" s="980"/>
      <c r="G31" s="1031">
        <v>0</v>
      </c>
      <c r="H31" s="1031"/>
      <c r="I31" s="1031"/>
      <c r="J31" s="996" t="s">
        <v>1941</v>
      </c>
      <c r="K31" s="1027">
        <f>+[1]HOJA1!$E$45</f>
        <v>170832.72</v>
      </c>
      <c r="M31" s="177" t="s">
        <v>1942</v>
      </c>
    </row>
    <row r="32" spans="1:13" s="177" customFormat="1" ht="15.95" customHeight="1">
      <c r="A32" s="1035" t="s">
        <v>1946</v>
      </c>
      <c r="B32" s="980" t="s">
        <v>1940</v>
      </c>
      <c r="C32" s="980" t="s">
        <v>345</v>
      </c>
      <c r="D32" s="980" t="s">
        <v>185</v>
      </c>
      <c r="E32" s="980"/>
      <c r="F32" s="980"/>
      <c r="G32" s="1031">
        <v>0</v>
      </c>
      <c r="H32" s="1031"/>
      <c r="I32" s="1031"/>
      <c r="J32" s="996" t="s">
        <v>1941</v>
      </c>
      <c r="K32" s="1027">
        <f>+[1]HOJA1!$E$42</f>
        <v>55545.89</v>
      </c>
      <c r="L32" s="732"/>
      <c r="M32" s="732" t="s">
        <v>1942</v>
      </c>
    </row>
    <row r="33" spans="1:13" s="177" customFormat="1" ht="15.95" customHeight="1">
      <c r="A33" s="1035"/>
      <c r="B33" s="980"/>
      <c r="C33" s="980"/>
      <c r="D33" s="980"/>
      <c r="E33" s="980"/>
      <c r="F33" s="980"/>
      <c r="G33" s="1031"/>
      <c r="H33" s="1031"/>
      <c r="I33" s="1031"/>
      <c r="J33" s="996"/>
      <c r="K33" s="1027"/>
      <c r="L33" s="732"/>
      <c r="M33" s="732"/>
    </row>
    <row r="34" spans="1:13" ht="15.95" customHeight="1">
      <c r="A34" s="188" t="s">
        <v>1568</v>
      </c>
      <c r="B34" s="189"/>
      <c r="C34" s="189"/>
      <c r="D34" s="189"/>
      <c r="E34" s="189"/>
      <c r="F34" s="189"/>
      <c r="G34" s="189"/>
      <c r="H34" s="189"/>
      <c r="I34" s="189"/>
      <c r="J34" s="189"/>
      <c r="K34" s="190">
        <f>SUM(K35:K57)</f>
        <v>6191005.870000001</v>
      </c>
    </row>
    <row r="35" spans="1:13" ht="15.95" customHeight="1">
      <c r="A35" s="1026" t="s">
        <v>1947</v>
      </c>
      <c r="B35" s="996" t="s">
        <v>1948</v>
      </c>
      <c r="C35" s="996" t="s">
        <v>1871</v>
      </c>
      <c r="D35" s="996" t="s">
        <v>185</v>
      </c>
      <c r="E35" s="996"/>
      <c r="F35" s="996"/>
      <c r="G35" s="1027">
        <v>0</v>
      </c>
      <c r="H35" s="1027">
        <v>1400</v>
      </c>
      <c r="I35" s="1027">
        <v>3000</v>
      </c>
      <c r="J35" s="996" t="s">
        <v>1949</v>
      </c>
      <c r="K35" s="1027">
        <f>+[1]HOJA1!$E$15</f>
        <v>1439435</v>
      </c>
      <c r="M35" t="s">
        <v>1950</v>
      </c>
    </row>
    <row r="36" spans="1:13" ht="15.95" customHeight="1">
      <c r="A36" s="1026" t="s">
        <v>1951</v>
      </c>
      <c r="B36" s="996" t="s">
        <v>1948</v>
      </c>
      <c r="C36" s="996" t="s">
        <v>352</v>
      </c>
      <c r="D36" s="996" t="s">
        <v>185</v>
      </c>
      <c r="E36" s="996"/>
      <c r="F36" s="996"/>
      <c r="G36" s="1027">
        <v>0</v>
      </c>
      <c r="H36" s="1027">
        <v>480</v>
      </c>
      <c r="I36" s="1027">
        <v>2200</v>
      </c>
      <c r="J36" s="996" t="s">
        <v>1952</v>
      </c>
      <c r="K36" s="1027">
        <f>+[1]HOJA1!$E$12+[1]HOJA1!$E$13</f>
        <v>1046956.14</v>
      </c>
      <c r="M36" t="s">
        <v>1953</v>
      </c>
    </row>
    <row r="37" spans="1:13" ht="15.95" customHeight="1">
      <c r="A37" s="1026" t="s">
        <v>1954</v>
      </c>
      <c r="B37" s="996" t="s">
        <v>1948</v>
      </c>
      <c r="C37" s="996" t="s">
        <v>1871</v>
      </c>
      <c r="D37" s="996" t="s">
        <v>185</v>
      </c>
      <c r="E37" s="996"/>
      <c r="F37" s="996"/>
      <c r="G37" s="1027">
        <v>0</v>
      </c>
      <c r="H37" s="1027">
        <v>100</v>
      </c>
      <c r="I37" s="1027">
        <v>2850</v>
      </c>
      <c r="J37" s="996" t="s">
        <v>1955</v>
      </c>
      <c r="K37" s="1031">
        <f>+[1]HOJA1!$E$22</f>
        <v>970397.93</v>
      </c>
      <c r="M37" t="s">
        <v>1956</v>
      </c>
    </row>
    <row r="38" spans="1:13" ht="15.95" customHeight="1">
      <c r="A38" s="1026" t="s">
        <v>1957</v>
      </c>
      <c r="B38" s="996" t="s">
        <v>1958</v>
      </c>
      <c r="C38" s="996" t="s">
        <v>1959</v>
      </c>
      <c r="D38" s="996" t="s">
        <v>185</v>
      </c>
      <c r="E38" s="996"/>
      <c r="F38" s="996"/>
      <c r="G38" s="1027">
        <v>0</v>
      </c>
      <c r="H38" s="1027">
        <v>4800</v>
      </c>
      <c r="I38" s="1027">
        <v>58700</v>
      </c>
      <c r="J38" s="996" t="s">
        <v>1960</v>
      </c>
      <c r="K38" s="1027">
        <f>+[1]HOJA1!$E$46</f>
        <v>916463.07</v>
      </c>
      <c r="M38" t="s">
        <v>1961</v>
      </c>
    </row>
    <row r="39" spans="1:13" ht="15.95" customHeight="1">
      <c r="A39" s="1026" t="s">
        <v>1962</v>
      </c>
      <c r="B39" s="996" t="s">
        <v>1963</v>
      </c>
      <c r="C39" s="996" t="s">
        <v>1964</v>
      </c>
      <c r="D39" s="996" t="s">
        <v>185</v>
      </c>
      <c r="E39" s="996"/>
      <c r="F39" s="996"/>
      <c r="G39" s="1027">
        <v>0</v>
      </c>
      <c r="H39" s="1027">
        <v>160</v>
      </c>
      <c r="I39" s="1027">
        <v>400</v>
      </c>
      <c r="J39" s="996" t="s">
        <v>1965</v>
      </c>
      <c r="K39" s="1027">
        <f>+[1]HOJA1!$E$47</f>
        <v>361020</v>
      </c>
      <c r="M39" t="s">
        <v>1966</v>
      </c>
    </row>
    <row r="40" spans="1:13" ht="15.95" customHeight="1">
      <c r="A40" s="1026" t="s">
        <v>1967</v>
      </c>
      <c r="B40" s="996" t="s">
        <v>1968</v>
      </c>
      <c r="C40" s="996" t="s">
        <v>1871</v>
      </c>
      <c r="D40" s="996" t="s">
        <v>185</v>
      </c>
      <c r="E40" s="996"/>
      <c r="F40" s="996"/>
      <c r="G40" s="1027">
        <v>0</v>
      </c>
      <c r="H40" s="1027">
        <v>400</v>
      </c>
      <c r="I40" s="1027">
        <v>2850</v>
      </c>
      <c r="J40" s="996" t="s">
        <v>1969</v>
      </c>
      <c r="K40" s="1027">
        <f>+[1]HOJA1!$E$39</f>
        <v>338413.43</v>
      </c>
    </row>
    <row r="41" spans="1:13" ht="15.95" customHeight="1">
      <c r="A41" s="1026" t="s">
        <v>1970</v>
      </c>
      <c r="B41" s="996" t="s">
        <v>1971</v>
      </c>
      <c r="C41" s="996" t="s">
        <v>627</v>
      </c>
      <c r="D41" s="996" t="s">
        <v>185</v>
      </c>
      <c r="E41" s="996"/>
      <c r="F41" s="996"/>
      <c r="G41" s="1027">
        <v>0</v>
      </c>
      <c r="H41" s="1030">
        <v>980</v>
      </c>
      <c r="I41" s="1030">
        <v>87280</v>
      </c>
      <c r="J41" s="996" t="s">
        <v>1972</v>
      </c>
      <c r="K41" s="1027">
        <f>+[1]HOJA1!$E$31+[1]HOJA1!$E$32</f>
        <v>305211.7</v>
      </c>
    </row>
    <row r="42" spans="1:13" ht="15.95" customHeight="1">
      <c r="A42" s="1026" t="s">
        <v>1973</v>
      </c>
      <c r="B42" s="996" t="s">
        <v>1948</v>
      </c>
      <c r="C42" s="996" t="s">
        <v>1871</v>
      </c>
      <c r="D42" s="1028">
        <v>4.0000000000000001E-3</v>
      </c>
      <c r="E42" s="996"/>
      <c r="F42" s="996"/>
      <c r="G42" s="1027">
        <v>0</v>
      </c>
      <c r="H42" s="1027">
        <v>225</v>
      </c>
      <c r="I42" s="1027">
        <v>3470</v>
      </c>
      <c r="J42" s="996" t="s">
        <v>1974</v>
      </c>
      <c r="K42" s="1027">
        <f>+[1]HOJA1!$E$24</f>
        <v>202635</v>
      </c>
      <c r="M42" t="s">
        <v>1975</v>
      </c>
    </row>
    <row r="43" spans="1:13" ht="15.95" customHeight="1">
      <c r="A43" s="1026" t="s">
        <v>1976</v>
      </c>
      <c r="B43" s="996" t="s">
        <v>1977</v>
      </c>
      <c r="C43" s="996" t="s">
        <v>345</v>
      </c>
      <c r="D43" s="1028">
        <v>2.5000000000000001E-2</v>
      </c>
      <c r="E43" s="996"/>
      <c r="F43" s="996"/>
      <c r="G43" s="1027">
        <v>0</v>
      </c>
      <c r="H43" s="1027"/>
      <c r="I43" s="1027"/>
      <c r="J43" s="996" t="s">
        <v>1978</v>
      </c>
      <c r="K43" s="1027">
        <f>+[1]HOJA1!$E$10</f>
        <v>165693.09</v>
      </c>
      <c r="M43" t="s">
        <v>1979</v>
      </c>
    </row>
    <row r="44" spans="1:13" ht="15.95" customHeight="1">
      <c r="A44" s="1026" t="s">
        <v>1980</v>
      </c>
      <c r="B44" s="996"/>
      <c r="C44" s="996" t="s">
        <v>1981</v>
      </c>
      <c r="D44" s="996"/>
      <c r="E44" s="996"/>
      <c r="F44" s="996"/>
      <c r="G44" s="1027">
        <v>0</v>
      </c>
      <c r="H44" s="1027"/>
      <c r="I44" s="1027"/>
      <c r="J44" s="996"/>
      <c r="K44" s="1031">
        <f>+[1]HOJA1!$E$54</f>
        <v>112450.57</v>
      </c>
    </row>
    <row r="45" spans="1:13" ht="15.95" customHeight="1">
      <c r="A45" s="1026" t="s">
        <v>1089</v>
      </c>
      <c r="B45" s="996" t="s">
        <v>1982</v>
      </c>
      <c r="C45" s="996" t="s">
        <v>352</v>
      </c>
      <c r="D45" s="996" t="s">
        <v>185</v>
      </c>
      <c r="E45" s="996"/>
      <c r="F45" s="996"/>
      <c r="G45" s="1027">
        <v>0</v>
      </c>
      <c r="H45" s="1027">
        <v>175</v>
      </c>
      <c r="I45" s="1027">
        <v>16235</v>
      </c>
      <c r="J45" s="996" t="s">
        <v>1983</v>
      </c>
      <c r="K45" s="1027">
        <f>+[1]HOJA1!$E$50</f>
        <v>76519</v>
      </c>
      <c r="M45" t="s">
        <v>1984</v>
      </c>
    </row>
    <row r="46" spans="1:13" ht="15.95" customHeight="1">
      <c r="A46" s="1026" t="s">
        <v>1985</v>
      </c>
      <c r="B46" s="996" t="s">
        <v>1986</v>
      </c>
      <c r="C46" s="996" t="s">
        <v>1871</v>
      </c>
      <c r="D46" s="996" t="s">
        <v>185</v>
      </c>
      <c r="E46" s="996"/>
      <c r="F46" s="996"/>
      <c r="G46" s="1027">
        <v>0</v>
      </c>
      <c r="H46" s="1027">
        <v>350</v>
      </c>
      <c r="I46" s="1027">
        <v>7120</v>
      </c>
      <c r="J46" s="996" t="s">
        <v>1987</v>
      </c>
      <c r="K46" s="1027">
        <f>+[1]HOJA1!$E$25</f>
        <v>72062.42</v>
      </c>
    </row>
    <row r="47" spans="1:13" ht="15.95" customHeight="1">
      <c r="A47" s="1026" t="s">
        <v>1988</v>
      </c>
      <c r="B47" s="996" t="s">
        <v>1018</v>
      </c>
      <c r="C47" s="996" t="s">
        <v>1871</v>
      </c>
      <c r="D47" s="1028">
        <v>3.0000000000000001E-3</v>
      </c>
      <c r="E47" s="1029">
        <v>0.01</v>
      </c>
      <c r="F47" s="1029">
        <v>0.02</v>
      </c>
      <c r="G47" s="1027">
        <v>0</v>
      </c>
      <c r="H47" s="1027"/>
      <c r="I47" s="1027"/>
      <c r="J47" s="996" t="s">
        <v>1989</v>
      </c>
      <c r="K47" s="1027">
        <f>+[1]HOJA1!$E$21</f>
        <v>64325.78</v>
      </c>
      <c r="M47" t="s">
        <v>1990</v>
      </c>
    </row>
    <row r="48" spans="1:13" ht="15.95" customHeight="1">
      <c r="A48" s="1026" t="s">
        <v>1991</v>
      </c>
      <c r="B48" s="996" t="s">
        <v>1992</v>
      </c>
      <c r="C48" s="996" t="s">
        <v>345</v>
      </c>
      <c r="D48" s="996" t="s">
        <v>185</v>
      </c>
      <c r="E48" s="996"/>
      <c r="F48" s="996"/>
      <c r="G48" s="1027">
        <v>0</v>
      </c>
      <c r="H48" s="1027">
        <v>2635</v>
      </c>
      <c r="I48" s="1027">
        <v>4385</v>
      </c>
      <c r="J48" s="996" t="s">
        <v>1993</v>
      </c>
      <c r="K48" s="1027">
        <f>+[1]HOJA1!$E$36</f>
        <v>58800</v>
      </c>
    </row>
    <row r="49" spans="1:13" ht="15.95" customHeight="1">
      <c r="A49" s="1026" t="s">
        <v>1994</v>
      </c>
      <c r="B49" s="996" t="s">
        <v>1948</v>
      </c>
      <c r="C49" s="996" t="s">
        <v>1871</v>
      </c>
      <c r="D49" s="996" t="s">
        <v>185</v>
      </c>
      <c r="E49" s="996"/>
      <c r="F49" s="996"/>
      <c r="G49" s="1027">
        <v>0</v>
      </c>
      <c r="H49" s="1027">
        <v>450</v>
      </c>
      <c r="I49" s="1027">
        <v>3530</v>
      </c>
      <c r="J49" s="996" t="s">
        <v>1995</v>
      </c>
      <c r="K49" s="1027">
        <f>+[1]HOJA1!$E$23</f>
        <v>33150</v>
      </c>
      <c r="M49" t="s">
        <v>1996</v>
      </c>
    </row>
    <row r="50" spans="1:13" ht="15.95" customHeight="1">
      <c r="A50" s="1026" t="s">
        <v>1997</v>
      </c>
      <c r="B50" s="996" t="s">
        <v>1968</v>
      </c>
      <c r="C50" s="996" t="s">
        <v>627</v>
      </c>
      <c r="D50" s="996" t="s">
        <v>185</v>
      </c>
      <c r="E50" s="996"/>
      <c r="F50" s="996"/>
      <c r="G50" s="1027">
        <v>0</v>
      </c>
      <c r="H50" s="1027"/>
      <c r="I50" s="1027"/>
      <c r="J50" s="996" t="s">
        <v>1998</v>
      </c>
      <c r="K50" s="1027">
        <f>+[1]HOJA1!$E$33</f>
        <v>15087.42</v>
      </c>
    </row>
    <row r="51" spans="1:13" ht="15.95" customHeight="1">
      <c r="A51" s="1026" t="s">
        <v>1999</v>
      </c>
      <c r="B51" s="996" t="s">
        <v>2000</v>
      </c>
      <c r="C51" s="996" t="s">
        <v>1871</v>
      </c>
      <c r="D51" s="996" t="s">
        <v>185</v>
      </c>
      <c r="E51" s="996"/>
      <c r="F51" s="996"/>
      <c r="G51" s="1027">
        <v>0</v>
      </c>
      <c r="H51" s="1027">
        <v>480</v>
      </c>
      <c r="I51" s="1027">
        <v>1550</v>
      </c>
      <c r="J51" s="996" t="s">
        <v>2001</v>
      </c>
      <c r="K51" s="1027">
        <f>+[1]HOJA1!$E$14</f>
        <v>6550</v>
      </c>
      <c r="M51" t="s">
        <v>2002</v>
      </c>
    </row>
    <row r="52" spans="1:13" ht="15.95" customHeight="1">
      <c r="A52" s="1026" t="s">
        <v>2003</v>
      </c>
      <c r="B52" s="996" t="s">
        <v>1948</v>
      </c>
      <c r="C52" s="996" t="s">
        <v>352</v>
      </c>
      <c r="D52" s="996" t="s">
        <v>185</v>
      </c>
      <c r="E52" s="996"/>
      <c r="F52" s="996"/>
      <c r="G52" s="1027">
        <v>0</v>
      </c>
      <c r="H52" s="1027">
        <v>60</v>
      </c>
      <c r="I52" s="1027">
        <v>1143.33</v>
      </c>
      <c r="J52" s="996" t="s">
        <v>2004</v>
      </c>
      <c r="K52" s="1027">
        <f>+[1]HOJA1!$E$11</f>
        <v>5716.65</v>
      </c>
      <c r="M52" t="s">
        <v>2005</v>
      </c>
    </row>
    <row r="53" spans="1:13" ht="15.95" customHeight="1">
      <c r="A53" s="1026" t="s">
        <v>2006</v>
      </c>
      <c r="B53" s="996"/>
      <c r="C53" s="996"/>
      <c r="D53" s="996"/>
      <c r="E53" s="996"/>
      <c r="F53" s="996"/>
      <c r="G53" s="1027">
        <v>0</v>
      </c>
      <c r="H53" s="1027"/>
      <c r="I53" s="1027"/>
      <c r="J53" s="996"/>
      <c r="K53" s="1031">
        <f>+[1]HOJA1!$E$52</f>
        <v>118.67</v>
      </c>
    </row>
    <row r="54" spans="1:13" ht="15.95" hidden="1" customHeight="1">
      <c r="A54" s="1026" t="s">
        <v>2007</v>
      </c>
      <c r="B54" s="996" t="s">
        <v>2008</v>
      </c>
      <c r="C54" s="996" t="s">
        <v>1871</v>
      </c>
      <c r="D54" s="996" t="s">
        <v>185</v>
      </c>
      <c r="E54" s="998">
        <v>0.05</v>
      </c>
      <c r="F54" s="998">
        <v>0.1</v>
      </c>
      <c r="G54" s="1027">
        <v>0</v>
      </c>
      <c r="H54" s="1027"/>
      <c r="I54" s="1027"/>
      <c r="J54" s="996" t="s">
        <v>2009</v>
      </c>
      <c r="K54" s="1027">
        <f>+[1]HOJA1!$E$18</f>
        <v>0</v>
      </c>
      <c r="M54" t="s">
        <v>2010</v>
      </c>
    </row>
    <row r="55" spans="1:13" ht="15.95" hidden="1" customHeight="1">
      <c r="A55" s="1026" t="s">
        <v>2011</v>
      </c>
      <c r="B55" s="996" t="s">
        <v>2012</v>
      </c>
      <c r="C55" s="996" t="s">
        <v>345</v>
      </c>
      <c r="D55" s="996" t="s">
        <v>185</v>
      </c>
      <c r="E55" s="996"/>
      <c r="F55" s="996"/>
      <c r="G55" s="1027">
        <v>200</v>
      </c>
      <c r="H55" s="1027"/>
      <c r="I55" s="1027"/>
      <c r="J55" s="996" t="s">
        <v>2013</v>
      </c>
      <c r="K55" s="1027">
        <f>+[1]HOJA1!$E$35</f>
        <v>0</v>
      </c>
    </row>
    <row r="56" spans="1:13" ht="15.95" hidden="1" customHeight="1">
      <c r="A56" s="1026" t="s">
        <v>155</v>
      </c>
      <c r="B56" s="996" t="s">
        <v>2014</v>
      </c>
      <c r="C56" s="996" t="s">
        <v>1041</v>
      </c>
      <c r="D56" s="996" t="s">
        <v>185</v>
      </c>
      <c r="E56" s="996"/>
      <c r="F56" s="996"/>
      <c r="G56" s="1027">
        <v>0</v>
      </c>
      <c r="H56" s="1027">
        <v>500</v>
      </c>
      <c r="I56" s="1027">
        <v>4650</v>
      </c>
      <c r="J56" s="996" t="s">
        <v>2015</v>
      </c>
      <c r="K56" s="1027">
        <f>+[1]HOJA1!$E$19</f>
        <v>0</v>
      </c>
    </row>
    <row r="57" spans="1:13" ht="15.95" customHeight="1">
      <c r="A57" s="1026"/>
      <c r="B57" s="996"/>
      <c r="C57" s="996"/>
      <c r="D57" s="996"/>
      <c r="E57" s="996"/>
      <c r="F57" s="996"/>
      <c r="G57" s="1027"/>
      <c r="H57" s="1027"/>
      <c r="I57" s="1027"/>
      <c r="J57" s="996"/>
      <c r="K57" s="1027"/>
    </row>
    <row r="58" spans="1:13" ht="15.95" customHeight="1">
      <c r="A58" s="188" t="s">
        <v>1574</v>
      </c>
      <c r="B58" s="189"/>
      <c r="C58" s="189"/>
      <c r="D58" s="189"/>
      <c r="E58" s="189"/>
      <c r="F58" s="189"/>
      <c r="G58" s="189"/>
      <c r="H58" s="189"/>
      <c r="I58" s="189"/>
      <c r="J58" s="189"/>
      <c r="K58" s="190">
        <f>SUM(K59:K60)</f>
        <v>223458</v>
      </c>
    </row>
    <row r="59" spans="1:13" s="399" customFormat="1" ht="15.95" customHeight="1">
      <c r="A59" s="1026" t="s">
        <v>2016</v>
      </c>
      <c r="B59" s="996"/>
      <c r="C59" s="996"/>
      <c r="D59" s="996"/>
      <c r="E59" s="996"/>
      <c r="F59" s="996"/>
      <c r="G59" s="1027"/>
      <c r="H59" s="1027"/>
      <c r="I59" s="1027"/>
      <c r="J59" s="996"/>
      <c r="K59" s="1027">
        <f>+[1]HOJA1!$E$55</f>
        <v>223458</v>
      </c>
    </row>
    <row r="60" spans="1:13" s="399" customFormat="1" ht="15.95" customHeight="1">
      <c r="A60" s="1026"/>
      <c r="B60" s="996"/>
      <c r="C60" s="996"/>
      <c r="D60" s="996"/>
      <c r="E60" s="996"/>
      <c r="F60" s="996"/>
      <c r="G60" s="1027"/>
      <c r="H60" s="1027"/>
      <c r="I60" s="1027"/>
      <c r="J60" s="996"/>
      <c r="K60" s="1027"/>
    </row>
    <row r="61" spans="1:13" ht="15.95" customHeight="1">
      <c r="A61" s="188" t="s">
        <v>1579</v>
      </c>
      <c r="B61" s="189"/>
      <c r="C61" s="189"/>
      <c r="D61" s="189"/>
      <c r="E61" s="189"/>
      <c r="F61" s="189"/>
      <c r="G61" s="189"/>
      <c r="H61" s="189"/>
      <c r="I61" s="189"/>
      <c r="J61" s="189"/>
      <c r="K61" s="190">
        <f>SUM(K62:K67)</f>
        <v>3877711.15</v>
      </c>
    </row>
    <row r="62" spans="1:13" s="399" customFormat="1" ht="15.95" customHeight="1">
      <c r="A62" s="1026" t="s">
        <v>2017</v>
      </c>
      <c r="B62" s="996" t="s">
        <v>2018</v>
      </c>
      <c r="C62" s="996" t="s">
        <v>2019</v>
      </c>
      <c r="D62" s="996"/>
      <c r="E62" s="996"/>
      <c r="F62" s="996"/>
      <c r="G62" s="1027"/>
      <c r="H62" s="1027"/>
      <c r="I62" s="1027"/>
      <c r="J62" s="996" t="s">
        <v>2020</v>
      </c>
      <c r="K62" s="1027">
        <f>+[1]HOJA1!$E$30</f>
        <v>2872290.4</v>
      </c>
      <c r="L62"/>
      <c r="M62"/>
    </row>
    <row r="63" spans="1:13" s="399" customFormat="1" ht="15.95" customHeight="1">
      <c r="A63" s="1026" t="s">
        <v>2021</v>
      </c>
      <c r="B63" s="996" t="s">
        <v>1031</v>
      </c>
      <c r="C63" s="996" t="s">
        <v>2019</v>
      </c>
      <c r="D63" s="996"/>
      <c r="E63" s="996"/>
      <c r="F63" s="996"/>
      <c r="G63" s="1027"/>
      <c r="H63" s="1027"/>
      <c r="I63" s="1027"/>
      <c r="J63" s="996" t="s">
        <v>2022</v>
      </c>
      <c r="K63" s="1027">
        <f>+[1]HOJA1!$E$26</f>
        <v>905376.25</v>
      </c>
    </row>
    <row r="64" spans="1:13" ht="15.95" customHeight="1">
      <c r="A64" s="1026" t="s">
        <v>2023</v>
      </c>
      <c r="B64" s="996" t="s">
        <v>1031</v>
      </c>
      <c r="C64" s="996" t="s">
        <v>2019</v>
      </c>
      <c r="D64" s="996"/>
      <c r="E64" s="996"/>
      <c r="F64" s="996"/>
      <c r="G64" s="1027"/>
      <c r="H64" s="1027"/>
      <c r="I64" s="1027"/>
      <c r="J64" s="996" t="s">
        <v>2020</v>
      </c>
      <c r="K64" s="1027">
        <f>+[1]HOJA1!$E$29</f>
        <v>90744.5</v>
      </c>
    </row>
    <row r="65" spans="1:13" ht="15.95" customHeight="1">
      <c r="A65" s="1026" t="s">
        <v>2024</v>
      </c>
      <c r="B65" s="996" t="s">
        <v>1031</v>
      </c>
      <c r="C65" s="996" t="s">
        <v>2019</v>
      </c>
      <c r="D65" s="996"/>
      <c r="E65" s="996"/>
      <c r="F65" s="996"/>
      <c r="G65" s="1027"/>
      <c r="H65" s="1027"/>
      <c r="I65" s="1027"/>
      <c r="J65" s="996" t="s">
        <v>2020</v>
      </c>
      <c r="K65" s="1027">
        <f>+[1]HOJA1!$E$27</f>
        <v>9300</v>
      </c>
    </row>
    <row r="66" spans="1:13" ht="15.95" hidden="1" customHeight="1">
      <c r="A66" s="1026" t="s">
        <v>2025</v>
      </c>
      <c r="B66" s="996" t="s">
        <v>1031</v>
      </c>
      <c r="C66" s="996" t="s">
        <v>2019</v>
      </c>
      <c r="D66" s="996"/>
      <c r="E66" s="996"/>
      <c r="F66" s="996"/>
      <c r="G66" s="1027"/>
      <c r="H66" s="1027"/>
      <c r="I66" s="1027"/>
      <c r="J66" s="996" t="s">
        <v>2026</v>
      </c>
      <c r="K66" s="1027">
        <f>+[1]HOJA1!$E$28</f>
        <v>0</v>
      </c>
      <c r="L66" s="399"/>
      <c r="M66" s="399"/>
    </row>
    <row r="67" spans="1:13" ht="15.95" customHeight="1">
      <c r="A67" s="1026"/>
      <c r="B67" s="996"/>
      <c r="C67" s="996"/>
      <c r="D67" s="996"/>
      <c r="E67" s="996"/>
      <c r="F67" s="996"/>
      <c r="G67" s="1027"/>
      <c r="H67" s="1027"/>
      <c r="I67" s="1027"/>
      <c r="J67" s="996"/>
      <c r="K67" s="1027"/>
    </row>
    <row r="68" spans="1:13" ht="15.95" customHeight="1">
      <c r="A68" s="188" t="s">
        <v>1580</v>
      </c>
      <c r="B68" s="189"/>
      <c r="C68" s="189"/>
      <c r="D68" s="189"/>
      <c r="E68" s="189"/>
      <c r="F68" s="189"/>
      <c r="G68" s="189"/>
      <c r="H68" s="189"/>
      <c r="I68" s="189"/>
      <c r="J68" s="189"/>
      <c r="K68" s="190">
        <f>SUM(K69:K70)</f>
        <v>0</v>
      </c>
    </row>
    <row r="69" spans="1:13" s="732" customFormat="1" ht="15.95" customHeight="1">
      <c r="A69" s="1026" t="s">
        <v>1888</v>
      </c>
      <c r="B69" s="980"/>
      <c r="C69" s="980"/>
      <c r="D69" s="980"/>
      <c r="E69" s="980"/>
      <c r="F69" s="980"/>
      <c r="G69" s="1031"/>
      <c r="H69" s="1031"/>
      <c r="I69" s="1031"/>
      <c r="J69" s="980"/>
      <c r="K69" s="1031"/>
    </row>
    <row r="70" spans="1:13" s="732" customFormat="1" ht="15.75" customHeight="1">
      <c r="A70" s="1035"/>
      <c r="B70" s="980"/>
      <c r="C70" s="980"/>
      <c r="D70" s="980"/>
      <c r="E70" s="980"/>
      <c r="F70" s="980"/>
      <c r="G70" s="1031"/>
      <c r="H70" s="1031"/>
      <c r="I70" s="1031"/>
      <c r="J70" s="980"/>
      <c r="K70" s="1031"/>
    </row>
    <row r="71" spans="1:13" ht="15.95" customHeight="1">
      <c r="A71" s="188" t="s">
        <v>1581</v>
      </c>
      <c r="B71" s="189"/>
      <c r="C71" s="189"/>
      <c r="D71" s="189"/>
      <c r="E71" s="189"/>
      <c r="F71" s="189"/>
      <c r="G71" s="189"/>
      <c r="H71" s="189"/>
      <c r="I71" s="189"/>
      <c r="J71" s="189"/>
      <c r="K71" s="190">
        <f>SUM(K72:K74)</f>
        <v>7046297.4199999999</v>
      </c>
    </row>
    <row r="72" spans="1:13" s="732" customFormat="1" ht="15.95" customHeight="1">
      <c r="A72" s="1026" t="s">
        <v>2027</v>
      </c>
      <c r="B72" s="980" t="s">
        <v>2028</v>
      </c>
      <c r="C72" s="996" t="s">
        <v>2019</v>
      </c>
      <c r="D72" s="980"/>
      <c r="E72" s="980"/>
      <c r="F72" s="980"/>
      <c r="G72" s="1031"/>
      <c r="H72" s="1031"/>
      <c r="I72" s="1031"/>
      <c r="J72" s="980"/>
      <c r="K72" s="1031">
        <f>+[1]HOJA1!$E$58</f>
        <v>6599424.5700000003</v>
      </c>
    </row>
    <row r="73" spans="1:13" s="732" customFormat="1" ht="15.95" customHeight="1">
      <c r="A73" s="1035" t="s">
        <v>407</v>
      </c>
      <c r="B73" s="980"/>
      <c r="C73" s="996" t="s">
        <v>2019</v>
      </c>
      <c r="D73" s="980"/>
      <c r="E73" s="980"/>
      <c r="F73" s="980"/>
      <c r="G73" s="1031"/>
      <c r="H73" s="1031"/>
      <c r="I73" s="1031"/>
      <c r="J73" s="980"/>
      <c r="K73" s="1031">
        <f>+[1]HOJA1!$E$75</f>
        <v>446872.85</v>
      </c>
    </row>
    <row r="74" spans="1:13" ht="15.95" customHeight="1">
      <c r="A74" s="1026"/>
      <c r="B74" s="996"/>
      <c r="C74" s="996"/>
      <c r="D74" s="996"/>
      <c r="E74" s="996"/>
      <c r="F74" s="996"/>
      <c r="G74" s="1027"/>
      <c r="H74" s="1027"/>
      <c r="I74" s="1027"/>
      <c r="J74" s="996"/>
      <c r="K74" s="1027"/>
    </row>
    <row r="75" spans="1:13" ht="16.5" customHeight="1">
      <c r="A75" s="241" t="s">
        <v>2029</v>
      </c>
      <c r="B75" s="242"/>
      <c r="C75" s="242"/>
      <c r="D75" s="242"/>
      <c r="E75" s="242"/>
      <c r="F75" s="242"/>
      <c r="G75" s="1036"/>
      <c r="H75" s="1036"/>
      <c r="I75" s="1036"/>
      <c r="J75" s="242"/>
      <c r="K75" s="1037">
        <f>+K71+K68+K61+K58+K34+K27+K12+K9</f>
        <v>145677010.87</v>
      </c>
      <c r="M75" s="1018"/>
    </row>
    <row r="76" spans="1:13">
      <c r="A76" s="245"/>
      <c r="B76" s="246"/>
      <c r="C76" s="246"/>
      <c r="D76" s="246"/>
      <c r="E76" s="246"/>
      <c r="F76" s="246"/>
      <c r="G76" s="1038"/>
      <c r="H76" s="1038"/>
      <c r="I76" s="1038"/>
      <c r="J76" s="1039"/>
      <c r="K76" s="1040"/>
    </row>
    <row r="77" spans="1:13" s="177" customFormat="1">
      <c r="A77" s="1041" t="s">
        <v>235</v>
      </c>
      <c r="B77" s="179"/>
      <c r="C77" s="179"/>
      <c r="D77" s="179"/>
      <c r="E77" s="179"/>
      <c r="F77" s="179"/>
      <c r="G77" s="1020"/>
      <c r="H77" s="1020"/>
      <c r="I77" s="1020"/>
      <c r="J77" s="179"/>
      <c r="K77" s="180" t="s">
        <v>234</v>
      </c>
    </row>
    <row r="78" spans="1:13" s="177" customFormat="1">
      <c r="A78" s="1042" t="s">
        <v>1884</v>
      </c>
      <c r="G78" s="1022"/>
      <c r="H78" s="1022"/>
      <c r="I78" s="1022"/>
    </row>
    <row r="79" spans="1:13" s="177" customFormat="1">
      <c r="A79" s="1043" t="s">
        <v>1885</v>
      </c>
      <c r="B79" s="179"/>
      <c r="C79" s="179"/>
      <c r="D79" s="179"/>
      <c r="E79" s="179"/>
      <c r="F79" s="179"/>
      <c r="G79" s="1020"/>
      <c r="H79" s="1020"/>
      <c r="I79" s="1020"/>
      <c r="J79" s="179"/>
      <c r="K79" s="179"/>
    </row>
    <row r="80" spans="1:13" s="177" customFormat="1">
      <c r="A80" s="1041" t="s">
        <v>232</v>
      </c>
      <c r="B80" s="179"/>
      <c r="C80" s="179"/>
      <c r="D80" s="179"/>
      <c r="E80" s="179"/>
      <c r="F80" s="179"/>
      <c r="G80" s="1020"/>
      <c r="H80" s="1020"/>
      <c r="I80" s="1020"/>
      <c r="J80" s="179"/>
      <c r="K80" s="179"/>
    </row>
    <row r="81" spans="1:13" s="177" customFormat="1">
      <c r="A81" s="1042" t="s">
        <v>2030</v>
      </c>
      <c r="G81" s="1022"/>
      <c r="H81" s="1022"/>
      <c r="I81" s="1022"/>
    </row>
    <row r="82" spans="1:13" s="177" customFormat="1">
      <c r="A82" s="184" t="s">
        <v>228</v>
      </c>
      <c r="B82" s="184" t="s">
        <v>227</v>
      </c>
      <c r="C82" s="184" t="s">
        <v>226</v>
      </c>
      <c r="D82" s="184"/>
      <c r="E82" s="183" t="s">
        <v>225</v>
      </c>
      <c r="F82" s="183"/>
      <c r="G82" s="1024" t="s">
        <v>224</v>
      </c>
      <c r="H82" s="1474" t="s">
        <v>223</v>
      </c>
      <c r="I82" s="1474"/>
      <c r="J82" s="184" t="s">
        <v>222</v>
      </c>
      <c r="K82" s="184" t="s">
        <v>221</v>
      </c>
    </row>
    <row r="83" spans="1:13" s="186" customFormat="1">
      <c r="A83" s="1382" t="s">
        <v>220</v>
      </c>
      <c r="B83" s="1379" t="s">
        <v>219</v>
      </c>
      <c r="C83" s="1379" t="s">
        <v>218</v>
      </c>
      <c r="D83" s="1379" t="s">
        <v>217</v>
      </c>
      <c r="E83" s="1379" t="s">
        <v>216</v>
      </c>
      <c r="F83" s="1379"/>
      <c r="G83" s="1472" t="s">
        <v>215</v>
      </c>
      <c r="H83" s="1472" t="s">
        <v>214</v>
      </c>
      <c r="I83" s="1472"/>
      <c r="J83" s="1379" t="s">
        <v>240</v>
      </c>
      <c r="K83" s="1380" t="s">
        <v>212</v>
      </c>
      <c r="M83" s="1473" t="s">
        <v>1887</v>
      </c>
    </row>
    <row r="84" spans="1:13" s="186" customFormat="1">
      <c r="A84" s="1382"/>
      <c r="B84" s="1379"/>
      <c r="C84" s="1379"/>
      <c r="D84" s="1379"/>
      <c r="E84" s="187" t="s">
        <v>211</v>
      </c>
      <c r="F84" s="187" t="s">
        <v>210</v>
      </c>
      <c r="G84" s="1472"/>
      <c r="H84" s="1025" t="s">
        <v>211</v>
      </c>
      <c r="I84" s="1025" t="s">
        <v>210</v>
      </c>
      <c r="J84" s="1379"/>
      <c r="K84" s="1380"/>
      <c r="M84" s="1473"/>
    </row>
    <row r="85" spans="1:13" ht="15.95" customHeight="1">
      <c r="A85" s="188" t="s">
        <v>1559</v>
      </c>
      <c r="B85" s="189"/>
      <c r="C85" s="189"/>
      <c r="D85" s="189"/>
      <c r="E85" s="189"/>
      <c r="F85" s="189"/>
      <c r="G85" s="189"/>
      <c r="H85" s="189"/>
      <c r="I85" s="189"/>
      <c r="J85" s="189"/>
      <c r="K85" s="190">
        <f>SUM(K86:K87)</f>
        <v>0</v>
      </c>
    </row>
    <row r="86" spans="1:13" ht="15.95" customHeight="1">
      <c r="A86" s="1026" t="s">
        <v>1888</v>
      </c>
      <c r="B86" s="996"/>
      <c r="C86" s="996"/>
      <c r="D86" s="996"/>
      <c r="E86" s="996"/>
      <c r="F86" s="996"/>
      <c r="G86" s="1027"/>
      <c r="H86" s="1027"/>
      <c r="I86" s="1027"/>
      <c r="J86" s="996"/>
      <c r="K86" s="1027"/>
    </row>
    <row r="87" spans="1:13" ht="15.95" customHeight="1">
      <c r="A87" s="1026"/>
      <c r="B87" s="996"/>
      <c r="C87" s="996"/>
      <c r="D87" s="996"/>
      <c r="E87" s="996"/>
      <c r="F87" s="996"/>
      <c r="G87" s="1027"/>
      <c r="H87" s="1027"/>
      <c r="I87" s="1027"/>
      <c r="J87" s="996"/>
      <c r="K87" s="1027"/>
    </row>
    <row r="88" spans="1:13" ht="15.95" customHeight="1">
      <c r="A88" s="188" t="s">
        <v>1559</v>
      </c>
      <c r="B88" s="189"/>
      <c r="C88" s="189"/>
      <c r="D88" s="189"/>
      <c r="E88" s="189"/>
      <c r="F88" s="189"/>
      <c r="G88" s="189"/>
      <c r="H88" s="189"/>
      <c r="I88" s="189"/>
      <c r="J88" s="189"/>
      <c r="K88" s="190">
        <f>SUM(K89:K90)</f>
        <v>0</v>
      </c>
    </row>
    <row r="89" spans="1:13" ht="15.95" customHeight="1">
      <c r="A89" s="1026" t="s">
        <v>1888</v>
      </c>
      <c r="B89" s="996"/>
      <c r="C89" s="996"/>
      <c r="D89" s="996"/>
      <c r="E89" s="996"/>
      <c r="F89" s="996"/>
      <c r="G89" s="1027"/>
      <c r="H89" s="1027"/>
      <c r="I89" s="1027"/>
      <c r="J89" s="996"/>
      <c r="K89" s="1027"/>
    </row>
    <row r="90" spans="1:13" ht="15.95" customHeight="1">
      <c r="A90" s="1026"/>
      <c r="B90" s="996"/>
      <c r="C90" s="996"/>
      <c r="D90" s="996"/>
      <c r="E90" s="996"/>
      <c r="F90" s="996"/>
      <c r="G90" s="1027"/>
      <c r="H90" s="1027"/>
      <c r="I90" s="1027"/>
      <c r="J90" s="996"/>
      <c r="K90" s="1027"/>
    </row>
    <row r="91" spans="1:13" ht="15.95" hidden="1" customHeight="1">
      <c r="A91" s="1026"/>
      <c r="B91" s="996"/>
      <c r="C91" s="996"/>
      <c r="D91" s="996"/>
      <c r="E91" s="996"/>
      <c r="F91" s="996"/>
      <c r="G91" s="1027"/>
      <c r="H91" s="1027"/>
      <c r="I91" s="1027"/>
      <c r="J91" s="996"/>
      <c r="K91" s="1027"/>
    </row>
    <row r="92" spans="1:13" ht="15.95" hidden="1" customHeight="1">
      <c r="A92" s="1026"/>
      <c r="B92" s="996"/>
      <c r="C92" s="996"/>
      <c r="D92" s="996"/>
      <c r="E92" s="996"/>
      <c r="F92" s="996"/>
      <c r="G92" s="1027"/>
      <c r="H92" s="1027"/>
      <c r="I92" s="1027"/>
      <c r="J92" s="996"/>
      <c r="K92" s="1027"/>
    </row>
    <row r="93" spans="1:13" ht="15.95" hidden="1" customHeight="1">
      <c r="A93" s="1026"/>
      <c r="B93" s="996"/>
      <c r="C93" s="996"/>
      <c r="D93" s="996"/>
      <c r="E93" s="996"/>
      <c r="F93" s="996"/>
      <c r="G93" s="1027"/>
      <c r="H93" s="1027"/>
      <c r="I93" s="1027"/>
      <c r="J93" s="996"/>
      <c r="K93" s="1027"/>
    </row>
    <row r="94" spans="1:13" ht="15.95" hidden="1" customHeight="1">
      <c r="A94" s="1026"/>
      <c r="B94" s="996"/>
      <c r="C94" s="996"/>
      <c r="D94" s="996"/>
      <c r="E94" s="996"/>
      <c r="F94" s="996"/>
      <c r="G94" s="1027"/>
      <c r="H94" s="1027"/>
      <c r="I94" s="1027"/>
      <c r="J94" s="996"/>
      <c r="K94" s="1027"/>
    </row>
    <row r="95" spans="1:13" ht="15.95" hidden="1" customHeight="1">
      <c r="A95" s="1026"/>
      <c r="B95" s="996"/>
      <c r="C95" s="996"/>
      <c r="D95" s="996"/>
      <c r="E95" s="996"/>
      <c r="F95" s="996"/>
      <c r="G95" s="1027"/>
      <c r="H95" s="1027"/>
      <c r="I95" s="1027"/>
      <c r="J95" s="996"/>
      <c r="K95" s="1027"/>
    </row>
    <row r="96" spans="1:13" ht="15.95" customHeight="1">
      <c r="A96" s="188" t="s">
        <v>1567</v>
      </c>
      <c r="B96" s="189"/>
      <c r="C96" s="189"/>
      <c r="D96" s="189"/>
      <c r="E96" s="189"/>
      <c r="F96" s="189"/>
      <c r="G96" s="189"/>
      <c r="H96" s="189"/>
      <c r="I96" s="189"/>
      <c r="J96" s="189"/>
      <c r="K96" s="190">
        <f>SUM(K97:K98)</f>
        <v>0</v>
      </c>
    </row>
    <row r="97" spans="1:13" s="177" customFormat="1" ht="15.95" customHeight="1">
      <c r="A97" s="1035" t="s">
        <v>1888</v>
      </c>
      <c r="B97" s="980"/>
      <c r="C97" s="980"/>
      <c r="D97" s="980"/>
      <c r="E97" s="980"/>
      <c r="F97" s="980"/>
      <c r="G97" s="1031"/>
      <c r="H97" s="1031"/>
      <c r="I97" s="1031"/>
      <c r="J97" s="996"/>
      <c r="K97" s="1027"/>
      <c r="L97" s="732"/>
      <c r="M97" s="732"/>
    </row>
    <row r="98" spans="1:13" s="177" customFormat="1" ht="15.95" customHeight="1">
      <c r="A98" s="1035"/>
      <c r="B98" s="980"/>
      <c r="C98" s="980"/>
      <c r="D98" s="980"/>
      <c r="E98" s="980"/>
      <c r="F98" s="980"/>
      <c r="G98" s="1031"/>
      <c r="H98" s="1031"/>
      <c r="I98" s="1031"/>
      <c r="J98" s="996"/>
      <c r="K98" s="1027"/>
      <c r="L98" s="732"/>
      <c r="M98" s="732"/>
    </row>
    <row r="99" spans="1:13" ht="15.95" customHeight="1">
      <c r="A99" s="188" t="s">
        <v>1568</v>
      </c>
      <c r="B99" s="189"/>
      <c r="C99" s="189"/>
      <c r="D99" s="189"/>
      <c r="E99" s="189"/>
      <c r="F99" s="189"/>
      <c r="G99" s="189"/>
      <c r="H99" s="189"/>
      <c r="I99" s="189"/>
      <c r="J99" s="189"/>
      <c r="K99" s="190">
        <f>SUM(K100:K102)</f>
        <v>217555.68</v>
      </c>
    </row>
    <row r="100" spans="1:13" ht="15.95" customHeight="1">
      <c r="A100" s="1026" t="s">
        <v>2031</v>
      </c>
      <c r="B100" s="996" t="s">
        <v>2032</v>
      </c>
      <c r="C100" s="996" t="s">
        <v>345</v>
      </c>
      <c r="D100" s="1028">
        <v>1E-3</v>
      </c>
      <c r="E100" s="996"/>
      <c r="F100" s="996"/>
      <c r="G100" s="1027"/>
      <c r="H100" s="1027"/>
      <c r="I100" s="1027"/>
      <c r="J100" s="996" t="s">
        <v>2033</v>
      </c>
      <c r="K100" s="1027">
        <f>+[2]Sheet1!$J$21++[2]Sheet1!$J$22</f>
        <v>129347.32</v>
      </c>
    </row>
    <row r="101" spans="1:13" ht="15.95" customHeight="1">
      <c r="A101" s="1026" t="s">
        <v>2034</v>
      </c>
      <c r="B101" s="996" t="s">
        <v>2035</v>
      </c>
      <c r="C101" s="996" t="s">
        <v>345</v>
      </c>
      <c r="D101" s="1028">
        <v>1.8E-3</v>
      </c>
      <c r="E101" s="996"/>
      <c r="F101" s="996"/>
      <c r="G101" s="1027"/>
      <c r="H101" s="1027"/>
      <c r="I101" s="1027"/>
      <c r="J101" s="996" t="s">
        <v>2033</v>
      </c>
      <c r="K101" s="1027">
        <f>+[2]Sheet1!$J$24</f>
        <v>88208.36</v>
      </c>
    </row>
    <row r="102" spans="1:13" ht="15.95" customHeight="1">
      <c r="A102" s="1026"/>
      <c r="B102" s="996"/>
      <c r="C102" s="996"/>
      <c r="D102" s="996"/>
      <c r="E102" s="996"/>
      <c r="F102" s="996"/>
      <c r="G102" s="1027"/>
      <c r="H102" s="1027"/>
      <c r="I102" s="1027"/>
      <c r="J102" s="996"/>
      <c r="K102" s="1027"/>
    </row>
    <row r="103" spans="1:13" ht="15.95" customHeight="1">
      <c r="A103" s="188" t="s">
        <v>1574</v>
      </c>
      <c r="B103" s="189"/>
      <c r="C103" s="189"/>
      <c r="D103" s="189"/>
      <c r="E103" s="189"/>
      <c r="F103" s="189"/>
      <c r="G103" s="189"/>
      <c r="H103" s="189"/>
      <c r="I103" s="189"/>
      <c r="J103" s="189"/>
      <c r="K103" s="190">
        <f>SUM(K104:K105)</f>
        <v>3746106</v>
      </c>
    </row>
    <row r="104" spans="1:13" s="399" customFormat="1" ht="15.95" customHeight="1">
      <c r="A104" s="1026" t="s">
        <v>2036</v>
      </c>
      <c r="B104" s="996" t="s">
        <v>2037</v>
      </c>
      <c r="C104" s="996" t="s">
        <v>2038</v>
      </c>
      <c r="D104" s="996"/>
      <c r="E104" s="996"/>
      <c r="F104" s="996"/>
      <c r="G104" s="1027"/>
      <c r="H104" s="1027"/>
      <c r="I104" s="1027"/>
      <c r="J104" s="996" t="s">
        <v>2039</v>
      </c>
      <c r="K104" s="1027">
        <f>+[2]Sheet1!$J$42</f>
        <v>2755446</v>
      </c>
    </row>
    <row r="105" spans="1:13" s="399" customFormat="1" ht="15.95" customHeight="1">
      <c r="A105" s="1026" t="s">
        <v>2040</v>
      </c>
      <c r="B105" s="996" t="s">
        <v>2037</v>
      </c>
      <c r="C105" s="996" t="s">
        <v>2038</v>
      </c>
      <c r="D105" s="996"/>
      <c r="E105" s="996"/>
      <c r="F105" s="996"/>
      <c r="G105" s="1027"/>
      <c r="H105" s="1027"/>
      <c r="I105" s="1027"/>
      <c r="J105" s="996" t="s">
        <v>2039</v>
      </c>
      <c r="K105" s="1027">
        <f>+[2]Sheet1!$J$26+[2]Sheet1!$J$27+[2]Sheet1!$J$28+[2]Sheet1!$J$29</f>
        <v>990660</v>
      </c>
    </row>
    <row r="106" spans="1:13" s="399" customFormat="1" ht="15.95" customHeight="1">
      <c r="A106" s="1026"/>
      <c r="B106" s="996"/>
      <c r="C106" s="996"/>
      <c r="D106" s="996"/>
      <c r="E106" s="996"/>
      <c r="F106" s="996"/>
      <c r="G106" s="1027"/>
      <c r="H106" s="1027"/>
      <c r="I106" s="1027"/>
      <c r="J106" s="996"/>
      <c r="K106" s="1027"/>
    </row>
    <row r="107" spans="1:13" ht="15.95" customHeight="1">
      <c r="A107" s="188" t="s">
        <v>1579</v>
      </c>
      <c r="B107" s="189"/>
      <c r="C107" s="189"/>
      <c r="D107" s="189"/>
      <c r="E107" s="189"/>
      <c r="F107" s="189"/>
      <c r="G107" s="189"/>
      <c r="H107" s="189"/>
      <c r="I107" s="189"/>
      <c r="J107" s="189"/>
      <c r="K107" s="190">
        <f>SUM(K108:K109)</f>
        <v>1105</v>
      </c>
    </row>
    <row r="108" spans="1:13" ht="15.95" customHeight="1">
      <c r="A108" s="1026" t="s">
        <v>2041</v>
      </c>
      <c r="B108" s="996"/>
      <c r="C108" s="996"/>
      <c r="D108" s="996"/>
      <c r="E108" s="996"/>
      <c r="F108" s="996"/>
      <c r="G108" s="1027"/>
      <c r="H108" s="1027"/>
      <c r="I108" s="1027"/>
      <c r="J108" s="996"/>
      <c r="K108" s="1027">
        <f>+[2]Sheet1!$J$30</f>
        <v>1105</v>
      </c>
    </row>
    <row r="109" spans="1:13" ht="15.95" customHeight="1">
      <c r="A109" s="1026"/>
      <c r="B109" s="996"/>
      <c r="C109" s="996"/>
      <c r="D109" s="996"/>
      <c r="E109" s="996"/>
      <c r="F109" s="996"/>
      <c r="G109" s="1027"/>
      <c r="H109" s="1027"/>
      <c r="I109" s="1027"/>
      <c r="J109" s="996"/>
      <c r="K109" s="1027"/>
    </row>
    <row r="110" spans="1:13" ht="15.95" customHeight="1">
      <c r="A110" s="188" t="s">
        <v>1580</v>
      </c>
      <c r="B110" s="189"/>
      <c r="C110" s="189"/>
      <c r="D110" s="189"/>
      <c r="E110" s="189"/>
      <c r="F110" s="189"/>
      <c r="G110" s="189"/>
      <c r="H110" s="189"/>
      <c r="I110" s="189"/>
      <c r="J110" s="189"/>
      <c r="K110" s="190">
        <f>SUM(K111:K112)</f>
        <v>0</v>
      </c>
    </row>
    <row r="111" spans="1:13" s="732" customFormat="1" ht="15.95" customHeight="1">
      <c r="A111" s="1026" t="s">
        <v>1888</v>
      </c>
      <c r="B111" s="980"/>
      <c r="C111" s="980"/>
      <c r="D111" s="980"/>
      <c r="E111" s="980"/>
      <c r="F111" s="980"/>
      <c r="G111" s="1031"/>
      <c r="H111" s="1031"/>
      <c r="I111" s="1031"/>
      <c r="J111" s="980"/>
      <c r="K111" s="1031"/>
    </row>
    <row r="112" spans="1:13" s="177" customFormat="1" ht="15.95" customHeight="1">
      <c r="A112" s="1035"/>
      <c r="B112" s="980"/>
      <c r="C112" s="980"/>
      <c r="D112" s="980"/>
      <c r="E112" s="980"/>
      <c r="F112" s="980"/>
      <c r="G112" s="1031"/>
      <c r="H112" s="1031"/>
      <c r="I112" s="1031"/>
      <c r="J112" s="980"/>
      <c r="K112" s="1031"/>
    </row>
    <row r="113" spans="1:13" ht="15.95" customHeight="1">
      <c r="A113" s="188" t="s">
        <v>1581</v>
      </c>
      <c r="B113" s="189"/>
      <c r="C113" s="189"/>
      <c r="D113" s="189"/>
      <c r="E113" s="189"/>
      <c r="F113" s="189"/>
      <c r="G113" s="189"/>
      <c r="H113" s="189"/>
      <c r="I113" s="189"/>
      <c r="J113" s="189"/>
      <c r="K113" s="190">
        <f>SUM(K114:K118)</f>
        <v>41881585.309999995</v>
      </c>
    </row>
    <row r="114" spans="1:13" s="732" customFormat="1" ht="15.95" customHeight="1">
      <c r="A114" s="1034" t="s">
        <v>2042</v>
      </c>
      <c r="B114" s="980" t="s">
        <v>2043</v>
      </c>
      <c r="C114" s="980" t="s">
        <v>345</v>
      </c>
      <c r="D114" s="1044">
        <v>0.32</v>
      </c>
      <c r="E114" s="980"/>
      <c r="F114" s="980"/>
      <c r="G114" s="1031"/>
      <c r="H114" s="1031"/>
      <c r="I114" s="1031"/>
      <c r="J114" s="980" t="s">
        <v>2044</v>
      </c>
      <c r="K114" s="1031">
        <f>+[2]Sheet1!$J$4</f>
        <v>26394766.399999995</v>
      </c>
      <c r="M114" s="732" t="s">
        <v>2045</v>
      </c>
    </row>
    <row r="115" spans="1:13" s="732" customFormat="1" ht="15.95" customHeight="1">
      <c r="A115" s="1026" t="s">
        <v>2046</v>
      </c>
      <c r="B115" s="980" t="s">
        <v>2047</v>
      </c>
      <c r="C115" s="980" t="s">
        <v>345</v>
      </c>
      <c r="D115" s="1044"/>
      <c r="E115" s="980"/>
      <c r="F115" s="980"/>
      <c r="G115" s="1031"/>
      <c r="H115" s="1031"/>
      <c r="I115" s="1031"/>
      <c r="J115" s="980"/>
      <c r="K115" s="1031">
        <f>+[2]Sheet1!$J$32</f>
        <v>12014568.91</v>
      </c>
      <c r="M115" s="732" t="s">
        <v>2048</v>
      </c>
    </row>
    <row r="116" spans="1:13" s="732" customFormat="1" ht="15.95" customHeight="1">
      <c r="A116" s="1026" t="s">
        <v>2049</v>
      </c>
      <c r="B116" s="980"/>
      <c r="C116" s="996" t="s">
        <v>2019</v>
      </c>
      <c r="D116" s="980"/>
      <c r="E116" s="980"/>
      <c r="F116" s="980"/>
      <c r="G116" s="1031"/>
      <c r="H116" s="1031"/>
      <c r="I116" s="1027"/>
      <c r="J116" s="980" t="s">
        <v>2050</v>
      </c>
      <c r="K116" s="1027">
        <f>+[2]Sheet1!$J$50</f>
        <v>3472250</v>
      </c>
      <c r="L116"/>
      <c r="M116"/>
    </row>
    <row r="117" spans="1:13" ht="15.95" customHeight="1">
      <c r="A117" s="1026" t="s">
        <v>2051</v>
      </c>
      <c r="B117" s="980"/>
      <c r="C117" s="996" t="s">
        <v>2019</v>
      </c>
      <c r="D117" s="1044"/>
      <c r="E117" s="980"/>
      <c r="F117" s="980"/>
      <c r="G117" s="1031"/>
      <c r="H117" s="1031"/>
      <c r="I117" s="1031"/>
      <c r="J117" s="980"/>
      <c r="K117" s="1031">
        <f>+[2]Sheet1!$J$38</f>
        <v>0</v>
      </c>
      <c r="L117" s="732"/>
      <c r="M117" s="732"/>
    </row>
    <row r="118" spans="1:13" ht="15.95" customHeight="1">
      <c r="A118" s="1026"/>
      <c r="B118" s="980"/>
      <c r="C118" s="996"/>
      <c r="D118" s="1044"/>
      <c r="E118" s="980"/>
      <c r="F118" s="980"/>
      <c r="G118" s="1031"/>
      <c r="H118" s="1031"/>
      <c r="I118" s="1031"/>
      <c r="J118" s="980"/>
      <c r="K118" s="1031"/>
    </row>
    <row r="119" spans="1:13" ht="15.95" customHeight="1">
      <c r="A119" s="241" t="s">
        <v>2052</v>
      </c>
      <c r="B119" s="242"/>
      <c r="C119" s="242"/>
      <c r="D119" s="242"/>
      <c r="E119" s="242"/>
      <c r="F119" s="242"/>
      <c r="G119" s="1036"/>
      <c r="H119" s="1036"/>
      <c r="I119" s="1036"/>
      <c r="J119" s="242"/>
      <c r="K119" s="1037">
        <f>+K113+K110+K107+K103+K99+K96+K88+K85</f>
        <v>45846351.989999995</v>
      </c>
      <c r="M119" s="1018" t="s">
        <v>2053</v>
      </c>
    </row>
    <row r="121" spans="1:13" s="177" customFormat="1">
      <c r="A121" s="1045" t="s">
        <v>235</v>
      </c>
      <c r="B121" s="179"/>
      <c r="C121" s="179"/>
      <c r="D121" s="179"/>
      <c r="E121" s="179"/>
      <c r="F121" s="179"/>
      <c r="G121" s="1020"/>
      <c r="H121" s="1020"/>
      <c r="I121" s="1020"/>
      <c r="J121" s="179"/>
      <c r="K121" s="180" t="s">
        <v>234</v>
      </c>
    </row>
    <row r="122" spans="1:13" s="177" customFormat="1">
      <c r="A122" s="1046" t="s">
        <v>1884</v>
      </c>
      <c r="G122" s="1022"/>
      <c r="H122" s="1022"/>
      <c r="I122" s="1022"/>
      <c r="K122" s="180"/>
    </row>
    <row r="123" spans="1:13" s="177" customFormat="1">
      <c r="A123" s="1047" t="s">
        <v>1885</v>
      </c>
      <c r="B123" s="179"/>
      <c r="C123" s="179"/>
      <c r="D123" s="179"/>
      <c r="E123" s="179"/>
      <c r="F123" s="179"/>
      <c r="G123" s="1020"/>
      <c r="H123" s="1020"/>
      <c r="I123" s="1020"/>
      <c r="J123" s="179"/>
      <c r="K123" s="179"/>
    </row>
    <row r="124" spans="1:13" s="177" customFormat="1">
      <c r="A124" s="1045" t="s">
        <v>232</v>
      </c>
      <c r="B124" s="179"/>
      <c r="C124" s="179"/>
      <c r="D124" s="179"/>
      <c r="E124" s="179"/>
      <c r="F124" s="179"/>
      <c r="G124" s="1020"/>
      <c r="H124" s="1020"/>
      <c r="I124" s="1020"/>
      <c r="J124" s="179"/>
      <c r="K124" s="179"/>
    </row>
    <row r="125" spans="1:13" s="177" customFormat="1">
      <c r="A125" s="1046" t="s">
        <v>2054</v>
      </c>
      <c r="G125" s="1022"/>
      <c r="H125" s="1022"/>
      <c r="I125" s="1022"/>
    </row>
    <row r="126" spans="1:13" s="177" customFormat="1">
      <c r="A126" s="184" t="s">
        <v>228</v>
      </c>
      <c r="B126" s="184" t="s">
        <v>227</v>
      </c>
      <c r="C126" s="184" t="s">
        <v>226</v>
      </c>
      <c r="D126" s="184"/>
      <c r="E126" s="183" t="s">
        <v>225</v>
      </c>
      <c r="F126" s="183"/>
      <c r="G126" s="1024" t="s">
        <v>224</v>
      </c>
      <c r="H126" s="1474" t="s">
        <v>223</v>
      </c>
      <c r="I126" s="1474"/>
      <c r="J126" s="184" t="s">
        <v>222</v>
      </c>
      <c r="K126" s="184" t="s">
        <v>221</v>
      </c>
    </row>
    <row r="127" spans="1:13" s="186" customFormat="1">
      <c r="A127" s="1382" t="s">
        <v>220</v>
      </c>
      <c r="B127" s="1379" t="s">
        <v>219</v>
      </c>
      <c r="C127" s="1379" t="s">
        <v>218</v>
      </c>
      <c r="D127" s="1379" t="s">
        <v>217</v>
      </c>
      <c r="E127" s="1379" t="s">
        <v>216</v>
      </c>
      <c r="F127" s="1379"/>
      <c r="G127" s="1472" t="s">
        <v>215</v>
      </c>
      <c r="H127" s="1472" t="s">
        <v>214</v>
      </c>
      <c r="I127" s="1472"/>
      <c r="J127" s="1379" t="s">
        <v>240</v>
      </c>
      <c r="K127" s="1380" t="s">
        <v>212</v>
      </c>
      <c r="M127" s="1473" t="s">
        <v>1887</v>
      </c>
    </row>
    <row r="128" spans="1:13" s="186" customFormat="1">
      <c r="A128" s="1382"/>
      <c r="B128" s="1379"/>
      <c r="C128" s="1379"/>
      <c r="D128" s="1379"/>
      <c r="E128" s="187" t="s">
        <v>211</v>
      </c>
      <c r="F128" s="187" t="s">
        <v>210</v>
      </c>
      <c r="G128" s="1472"/>
      <c r="H128" s="1025" t="s">
        <v>211</v>
      </c>
      <c r="I128" s="1025" t="s">
        <v>210</v>
      </c>
      <c r="J128" s="1379"/>
      <c r="K128" s="1380"/>
      <c r="M128" s="1473"/>
    </row>
    <row r="129" spans="1:13" ht="15.95" customHeight="1">
      <c r="A129" s="188" t="s">
        <v>1558</v>
      </c>
      <c r="B129" s="189"/>
      <c r="C129" s="189"/>
      <c r="D129" s="189"/>
      <c r="E129" s="189"/>
      <c r="F129" s="189"/>
      <c r="G129" s="189"/>
      <c r="H129" s="189"/>
      <c r="I129" s="189"/>
      <c r="J129" s="189"/>
      <c r="K129" s="190">
        <f>SUM(K130:K131)</f>
        <v>0</v>
      </c>
    </row>
    <row r="130" spans="1:13" ht="15.95" customHeight="1">
      <c r="A130" s="1026" t="s">
        <v>1888</v>
      </c>
      <c r="B130" s="996"/>
      <c r="C130" s="996"/>
      <c r="D130" s="996"/>
      <c r="E130" s="996"/>
      <c r="F130" s="996"/>
      <c r="G130" s="1027"/>
      <c r="H130" s="1027"/>
      <c r="I130" s="1027"/>
      <c r="J130" s="996"/>
      <c r="K130" s="1027"/>
    </row>
    <row r="131" spans="1:13" ht="15.95" customHeight="1">
      <c r="A131" s="1026"/>
      <c r="B131" s="996"/>
      <c r="C131" s="996"/>
      <c r="D131" s="996"/>
      <c r="E131" s="996"/>
      <c r="F131" s="996"/>
      <c r="G131" s="1027"/>
      <c r="H131" s="1027"/>
      <c r="I131" s="1027"/>
      <c r="J131" s="996"/>
      <c r="K131" s="1027"/>
    </row>
    <row r="132" spans="1:13" ht="15.95" customHeight="1">
      <c r="A132" s="188" t="s">
        <v>1559</v>
      </c>
      <c r="B132" s="189"/>
      <c r="C132" s="189"/>
      <c r="D132" s="189"/>
      <c r="E132" s="189"/>
      <c r="F132" s="189"/>
      <c r="G132" s="189"/>
      <c r="H132" s="189"/>
      <c r="I132" s="189"/>
      <c r="J132" s="189"/>
      <c r="K132" s="190">
        <f>SUM(K133:K135)</f>
        <v>2242772.9200000004</v>
      </c>
    </row>
    <row r="133" spans="1:13" ht="15.95" customHeight="1">
      <c r="A133" s="1026" t="s">
        <v>2055</v>
      </c>
      <c r="B133" s="996" t="s">
        <v>2056</v>
      </c>
      <c r="C133" s="996" t="s">
        <v>2057</v>
      </c>
      <c r="D133" s="980" t="s">
        <v>185</v>
      </c>
      <c r="E133" s="996"/>
      <c r="F133" s="996"/>
      <c r="G133" s="1027"/>
      <c r="H133" s="1027"/>
      <c r="I133" s="1027"/>
      <c r="J133" s="996" t="s">
        <v>2058</v>
      </c>
      <c r="K133" s="1027">
        <f>+[3]Sheet1!$E$6+[3]Sheet1!$E$7</f>
        <v>2147840.7000000002</v>
      </c>
      <c r="M133" t="s">
        <v>2059</v>
      </c>
    </row>
    <row r="134" spans="1:13" ht="15.95" customHeight="1">
      <c r="A134" s="1026" t="s">
        <v>2060</v>
      </c>
      <c r="B134" s="996" t="s">
        <v>1898</v>
      </c>
      <c r="C134" s="996" t="s">
        <v>2057</v>
      </c>
      <c r="D134" s="980" t="s">
        <v>185</v>
      </c>
      <c r="E134" s="996"/>
      <c r="F134" s="996"/>
      <c r="G134" s="1027"/>
      <c r="H134" s="1027">
        <v>96.08</v>
      </c>
      <c r="I134" s="1027">
        <v>960.75</v>
      </c>
      <c r="J134" s="996" t="s">
        <v>2061</v>
      </c>
      <c r="K134" s="1027">
        <f>+[3]Sheet1!$E$8+[3]Sheet1!$E$9</f>
        <v>94932.22</v>
      </c>
    </row>
    <row r="135" spans="1:13" ht="15.95" customHeight="1">
      <c r="A135" s="1026"/>
      <c r="B135" s="996"/>
      <c r="C135" s="996"/>
      <c r="D135" s="996"/>
      <c r="E135" s="996"/>
      <c r="F135" s="996"/>
      <c r="G135" s="1027"/>
      <c r="H135" s="1027"/>
      <c r="I135" s="1027"/>
      <c r="J135" s="996"/>
      <c r="K135" s="1027"/>
      <c r="M135" s="941"/>
    </row>
    <row r="136" spans="1:13" ht="15.95" hidden="1" customHeight="1">
      <c r="A136" s="1026"/>
      <c r="B136" s="996"/>
      <c r="C136" s="996"/>
      <c r="D136" s="996"/>
      <c r="E136" s="996"/>
      <c r="F136" s="996"/>
      <c r="G136" s="1027"/>
      <c r="H136" s="1027"/>
      <c r="I136" s="1027"/>
      <c r="J136" s="996"/>
      <c r="K136" s="1027"/>
    </row>
    <row r="137" spans="1:13" ht="15.95" hidden="1" customHeight="1">
      <c r="A137" s="1026"/>
      <c r="B137" s="996"/>
      <c r="C137" s="996"/>
      <c r="D137" s="996"/>
      <c r="E137" s="996"/>
      <c r="F137" s="996"/>
      <c r="G137" s="1027"/>
      <c r="H137" s="1027"/>
      <c r="I137" s="1027"/>
      <c r="J137" s="996"/>
      <c r="K137" s="1027"/>
    </row>
    <row r="138" spans="1:13" ht="15.95" hidden="1" customHeight="1">
      <c r="A138" s="1026"/>
      <c r="B138" s="996"/>
      <c r="C138" s="996"/>
      <c r="D138" s="996"/>
      <c r="E138" s="996"/>
      <c r="F138" s="996"/>
      <c r="G138" s="1027"/>
      <c r="H138" s="1027"/>
      <c r="I138" s="1027"/>
      <c r="J138" s="996"/>
      <c r="K138" s="1027"/>
    </row>
    <row r="139" spans="1:13" ht="15.95" hidden="1" customHeight="1">
      <c r="A139" s="1026"/>
      <c r="B139" s="996"/>
      <c r="C139" s="996"/>
      <c r="D139" s="996"/>
      <c r="E139" s="996"/>
      <c r="F139" s="996"/>
      <c r="G139" s="1027"/>
      <c r="H139" s="1027"/>
      <c r="I139" s="1027"/>
      <c r="J139" s="996"/>
      <c r="K139" s="1027"/>
    </row>
    <row r="140" spans="1:13" ht="15.95" hidden="1" customHeight="1">
      <c r="A140" s="1026"/>
      <c r="B140" s="996"/>
      <c r="C140" s="996"/>
      <c r="D140" s="996"/>
      <c r="E140" s="996"/>
      <c r="F140" s="996"/>
      <c r="G140" s="1027"/>
      <c r="H140" s="1027"/>
      <c r="I140" s="1027"/>
      <c r="J140" s="996"/>
      <c r="K140" s="1027"/>
    </row>
    <row r="141" spans="1:13" ht="15.95" customHeight="1">
      <c r="A141" s="188" t="s">
        <v>1567</v>
      </c>
      <c r="B141" s="189"/>
      <c r="C141" s="189"/>
      <c r="D141" s="189"/>
      <c r="E141" s="189"/>
      <c r="F141" s="189"/>
      <c r="G141" s="189"/>
      <c r="H141" s="189"/>
      <c r="I141" s="189"/>
      <c r="J141" s="189"/>
      <c r="K141" s="190">
        <f>SUM(K142:K143)</f>
        <v>0</v>
      </c>
    </row>
    <row r="142" spans="1:13" s="177" customFormat="1" ht="15.95" customHeight="1">
      <c r="A142" s="1035" t="s">
        <v>1888</v>
      </c>
      <c r="B142" s="980"/>
      <c r="C142" s="980"/>
      <c r="D142" s="980"/>
      <c r="E142" s="980"/>
      <c r="F142" s="980"/>
      <c r="G142" s="1031"/>
      <c r="H142" s="1031"/>
      <c r="I142" s="1031"/>
      <c r="J142" s="996"/>
      <c r="K142" s="1027"/>
      <c r="L142" s="732"/>
      <c r="M142" s="732"/>
    </row>
    <row r="143" spans="1:13" s="177" customFormat="1" ht="15.95" customHeight="1">
      <c r="A143" s="1035"/>
      <c r="B143" s="980"/>
      <c r="C143" s="980"/>
      <c r="D143" s="980"/>
      <c r="E143" s="980"/>
      <c r="F143" s="980"/>
      <c r="G143" s="1031"/>
      <c r="H143" s="1031"/>
      <c r="I143" s="1031"/>
      <c r="J143" s="996"/>
      <c r="K143" s="1027"/>
      <c r="L143" s="732"/>
      <c r="M143" s="732"/>
    </row>
    <row r="144" spans="1:13" ht="15.95" customHeight="1">
      <c r="A144" s="188" t="s">
        <v>1568</v>
      </c>
      <c r="B144" s="189"/>
      <c r="C144" s="189"/>
      <c r="D144" s="189"/>
      <c r="E144" s="189"/>
      <c r="F144" s="189"/>
      <c r="G144" s="189"/>
      <c r="H144" s="189"/>
      <c r="I144" s="189"/>
      <c r="J144" s="189"/>
      <c r="K144" s="190">
        <f>SUM(K145:K146)</f>
        <v>0</v>
      </c>
    </row>
    <row r="145" spans="1:13" ht="15.95" customHeight="1">
      <c r="A145" s="1026"/>
      <c r="B145" s="996"/>
      <c r="C145" s="996"/>
      <c r="D145" s="996"/>
      <c r="E145" s="996"/>
      <c r="F145" s="996"/>
      <c r="G145" s="1027"/>
      <c r="H145" s="1027"/>
      <c r="I145" s="1027"/>
      <c r="J145" s="996"/>
      <c r="K145" s="1027"/>
    </row>
    <row r="146" spans="1:13" ht="15.95" customHeight="1">
      <c r="A146" s="1026"/>
      <c r="B146" s="996"/>
      <c r="C146" s="996"/>
      <c r="D146" s="996"/>
      <c r="E146" s="996"/>
      <c r="F146" s="996"/>
      <c r="G146" s="1027"/>
      <c r="H146" s="1027"/>
      <c r="I146" s="1027"/>
      <c r="J146" s="996"/>
      <c r="K146" s="1027"/>
    </row>
    <row r="147" spans="1:13" ht="15.95" customHeight="1">
      <c r="A147" s="188" t="s">
        <v>1574</v>
      </c>
      <c r="B147" s="189"/>
      <c r="C147" s="189"/>
      <c r="D147" s="189"/>
      <c r="E147" s="189"/>
      <c r="F147" s="189"/>
      <c r="G147" s="189"/>
      <c r="H147" s="189"/>
      <c r="I147" s="189"/>
      <c r="J147" s="189"/>
      <c r="K147" s="190">
        <f>SUM(K148:K149)</f>
        <v>0</v>
      </c>
    </row>
    <row r="148" spans="1:13" s="399" customFormat="1" ht="15.95" customHeight="1">
      <c r="A148" s="1026" t="s">
        <v>1888</v>
      </c>
      <c r="B148" s="996"/>
      <c r="C148" s="996"/>
      <c r="D148" s="996"/>
      <c r="E148" s="996"/>
      <c r="F148" s="996"/>
      <c r="G148" s="1027"/>
      <c r="H148" s="1027"/>
      <c r="I148" s="1027"/>
      <c r="J148" s="996"/>
      <c r="K148" s="1027"/>
    </row>
    <row r="149" spans="1:13" ht="15.95" customHeight="1">
      <c r="A149" s="1026"/>
      <c r="B149" s="996"/>
      <c r="C149" s="996"/>
      <c r="D149" s="996"/>
      <c r="E149" s="996"/>
      <c r="F149" s="996"/>
      <c r="G149" s="1027"/>
      <c r="H149" s="1027"/>
      <c r="I149" s="1027"/>
      <c r="J149" s="996"/>
      <c r="K149" s="1027"/>
    </row>
    <row r="150" spans="1:13" ht="15.95" customHeight="1">
      <c r="A150" s="188" t="s">
        <v>1579</v>
      </c>
      <c r="B150" s="189"/>
      <c r="C150" s="189"/>
      <c r="D150" s="189"/>
      <c r="E150" s="189"/>
      <c r="F150" s="189"/>
      <c r="G150" s="189"/>
      <c r="H150" s="189"/>
      <c r="I150" s="189"/>
      <c r="J150" s="189"/>
      <c r="K150" s="190">
        <f>SUM(K151:K152)</f>
        <v>73096.2</v>
      </c>
    </row>
    <row r="151" spans="1:13" s="399" customFormat="1" ht="15.95" customHeight="1">
      <c r="A151" s="1026" t="s">
        <v>2017</v>
      </c>
      <c r="B151" s="996" t="s">
        <v>2018</v>
      </c>
      <c r="C151" s="996" t="s">
        <v>2019</v>
      </c>
      <c r="D151" s="996"/>
      <c r="E151" s="996"/>
      <c r="F151" s="996"/>
      <c r="G151" s="1027"/>
      <c r="H151" s="1027"/>
      <c r="I151" s="1027"/>
      <c r="J151" s="996" t="s">
        <v>2020</v>
      </c>
      <c r="K151" s="1027">
        <f>+[3]Sheet1!$E$11</f>
        <v>73096.2</v>
      </c>
      <c r="L151"/>
      <c r="M151"/>
    </row>
    <row r="152" spans="1:13" ht="15.95" hidden="1" customHeight="1">
      <c r="A152" s="1026" t="s">
        <v>548</v>
      </c>
      <c r="B152" s="996" t="s">
        <v>1031</v>
      </c>
      <c r="C152" s="996" t="s">
        <v>2019</v>
      </c>
      <c r="D152" s="996"/>
      <c r="E152" s="996"/>
      <c r="F152" s="996"/>
      <c r="G152" s="1027"/>
      <c r="H152" s="1027"/>
      <c r="I152" s="1027"/>
      <c r="J152" s="996" t="s">
        <v>2020</v>
      </c>
      <c r="K152" s="1027">
        <f>+[3]Sheet1!$E$10</f>
        <v>0</v>
      </c>
    </row>
    <row r="153" spans="1:13" ht="15.95" customHeight="1">
      <c r="A153" s="188" t="s">
        <v>1580</v>
      </c>
      <c r="B153" s="189"/>
      <c r="C153" s="189"/>
      <c r="D153" s="189"/>
      <c r="E153" s="189"/>
      <c r="F153" s="189"/>
      <c r="G153" s="189"/>
      <c r="H153" s="189"/>
      <c r="I153" s="189"/>
      <c r="J153" s="189"/>
      <c r="K153" s="190">
        <f>SUM(K154:K155)</f>
        <v>0</v>
      </c>
    </row>
    <row r="154" spans="1:13" s="732" customFormat="1" ht="15.95" customHeight="1">
      <c r="A154" s="1026" t="s">
        <v>1888</v>
      </c>
      <c r="B154" s="980"/>
      <c r="C154" s="980"/>
      <c r="D154" s="980"/>
      <c r="E154" s="980"/>
      <c r="F154" s="980"/>
      <c r="G154" s="1031"/>
      <c r="H154" s="1031"/>
      <c r="I154" s="1031"/>
      <c r="J154" s="980"/>
      <c r="K154" s="1031"/>
    </row>
    <row r="155" spans="1:13" s="732" customFormat="1" ht="15.95" customHeight="1">
      <c r="A155" s="1026"/>
      <c r="B155" s="980"/>
      <c r="C155" s="980"/>
      <c r="D155" s="980"/>
      <c r="E155" s="980"/>
      <c r="F155" s="980"/>
      <c r="G155" s="1031"/>
      <c r="H155" s="1031"/>
      <c r="I155" s="1031"/>
      <c r="J155" s="980"/>
      <c r="K155" s="1031"/>
    </row>
    <row r="156" spans="1:13" ht="15.95" customHeight="1">
      <c r="A156" s="188" t="s">
        <v>1581</v>
      </c>
      <c r="B156" s="189"/>
      <c r="C156" s="189"/>
      <c r="D156" s="189"/>
      <c r="E156" s="189"/>
      <c r="F156" s="189"/>
      <c r="G156" s="189"/>
      <c r="H156" s="189"/>
      <c r="I156" s="189"/>
      <c r="J156" s="189"/>
      <c r="K156" s="190">
        <f>SUM(K157:K159)</f>
        <v>664514.43999999994</v>
      </c>
    </row>
    <row r="157" spans="1:13" s="732" customFormat="1" ht="15.95" customHeight="1">
      <c r="A157" s="1026" t="s">
        <v>2027</v>
      </c>
      <c r="B157" s="980"/>
      <c r="C157" s="980"/>
      <c r="D157" s="980"/>
      <c r="E157" s="980"/>
      <c r="F157" s="980"/>
      <c r="G157" s="1031"/>
      <c r="H157" s="1031"/>
      <c r="I157" s="1031"/>
      <c r="J157" s="980"/>
      <c r="K157" s="1031">
        <f>+[3]Sheet1!$E$15</f>
        <v>349358.87</v>
      </c>
    </row>
    <row r="158" spans="1:13" s="732" customFormat="1" ht="15.95" customHeight="1">
      <c r="A158" s="1035" t="s">
        <v>2062</v>
      </c>
      <c r="B158" s="980"/>
      <c r="C158" s="980"/>
      <c r="D158" s="980"/>
      <c r="E158" s="980"/>
      <c r="F158" s="980"/>
      <c r="G158" s="1031"/>
      <c r="H158" s="1031"/>
      <c r="I158" s="1031"/>
      <c r="J158" s="980"/>
      <c r="K158" s="1031">
        <f>+[3]Sheet1!$E$12+[3]Sheet1!$E$13+[3]Sheet1!$E$25</f>
        <v>315155.57</v>
      </c>
    </row>
    <row r="159" spans="1:13" s="732" customFormat="1" ht="15.95" customHeight="1">
      <c r="A159" s="1035"/>
      <c r="B159" s="980"/>
      <c r="C159" s="980"/>
      <c r="D159" s="980"/>
      <c r="E159" s="980"/>
      <c r="F159" s="980"/>
      <c r="G159" s="1031"/>
      <c r="H159" s="1031"/>
      <c r="I159" s="1031"/>
      <c r="J159" s="980"/>
      <c r="K159" s="1031"/>
    </row>
    <row r="160" spans="1:13" ht="15.95" customHeight="1">
      <c r="A160" s="241" t="s">
        <v>2063</v>
      </c>
      <c r="B160" s="242"/>
      <c r="C160" s="242"/>
      <c r="D160" s="242"/>
      <c r="E160" s="242"/>
      <c r="F160" s="242"/>
      <c r="G160" s="1036"/>
      <c r="H160" s="1036"/>
      <c r="I160" s="1036"/>
      <c r="J160" s="242"/>
      <c r="K160" s="1037">
        <f>+K156+K153+K150+K147+K144+K141+K132+K129</f>
        <v>2980383.5600000005</v>
      </c>
    </row>
    <row r="161" spans="1:13" s="732" customFormat="1" ht="15.95" customHeight="1">
      <c r="A161" s="179"/>
      <c r="B161" s="1048"/>
      <c r="C161" s="1048"/>
      <c r="D161" s="1048"/>
      <c r="E161" s="1048"/>
      <c r="F161" s="1048"/>
      <c r="G161" s="1024"/>
      <c r="H161" s="1024"/>
      <c r="I161" s="1024"/>
      <c r="J161" s="1048"/>
      <c r="K161" s="1024"/>
    </row>
    <row r="162" spans="1:13" s="177" customFormat="1">
      <c r="A162" s="1049" t="s">
        <v>235</v>
      </c>
      <c r="B162" s="179"/>
      <c r="C162" s="179"/>
      <c r="D162" s="179"/>
      <c r="E162" s="179"/>
      <c r="F162" s="179"/>
      <c r="G162" s="1020"/>
      <c r="H162" s="1020"/>
      <c r="I162" s="1020"/>
      <c r="J162" s="179"/>
      <c r="K162" s="180" t="s">
        <v>234</v>
      </c>
    </row>
    <row r="163" spans="1:13" s="177" customFormat="1">
      <c r="A163" s="1050" t="s">
        <v>1884</v>
      </c>
      <c r="G163" s="1022"/>
      <c r="H163" s="1022"/>
      <c r="I163" s="1022"/>
      <c r="K163" s="180"/>
    </row>
    <row r="164" spans="1:13" s="177" customFormat="1">
      <c r="A164" s="1051" t="s">
        <v>1885</v>
      </c>
      <c r="B164" s="179"/>
      <c r="C164" s="179"/>
      <c r="D164" s="179"/>
      <c r="E164" s="179"/>
      <c r="F164" s="179"/>
      <c r="G164" s="1020"/>
      <c r="H164" s="1020"/>
      <c r="I164" s="1020"/>
      <c r="J164" s="179"/>
      <c r="K164" s="179"/>
    </row>
    <row r="165" spans="1:13" s="177" customFormat="1">
      <c r="A165" s="1049" t="s">
        <v>232</v>
      </c>
      <c r="B165" s="179"/>
      <c r="C165" s="179"/>
      <c r="D165" s="179"/>
      <c r="E165" s="179"/>
      <c r="F165" s="179"/>
      <c r="G165" s="1020"/>
      <c r="H165" s="1020"/>
      <c r="I165" s="1020"/>
      <c r="J165" s="179"/>
      <c r="K165" s="179"/>
    </row>
    <row r="166" spans="1:13" s="177" customFormat="1">
      <c r="A166" s="1050" t="s">
        <v>2064</v>
      </c>
      <c r="G166" s="1022"/>
      <c r="H166" s="1022"/>
      <c r="I166" s="1022"/>
    </row>
    <row r="167" spans="1:13" s="177" customFormat="1">
      <c r="A167" s="184" t="s">
        <v>228</v>
      </c>
      <c r="B167" s="184" t="s">
        <v>227</v>
      </c>
      <c r="C167" s="184" t="s">
        <v>226</v>
      </c>
      <c r="D167" s="184"/>
      <c r="E167" s="183" t="s">
        <v>225</v>
      </c>
      <c r="F167" s="183"/>
      <c r="G167" s="1024" t="s">
        <v>224</v>
      </c>
      <c r="H167" s="1474" t="s">
        <v>223</v>
      </c>
      <c r="I167" s="1474"/>
      <c r="J167" s="184" t="s">
        <v>222</v>
      </c>
      <c r="K167" s="184" t="s">
        <v>221</v>
      </c>
    </row>
    <row r="168" spans="1:13" s="186" customFormat="1">
      <c r="A168" s="1382" t="s">
        <v>220</v>
      </c>
      <c r="B168" s="1379" t="s">
        <v>219</v>
      </c>
      <c r="C168" s="1379" t="s">
        <v>218</v>
      </c>
      <c r="D168" s="1379" t="s">
        <v>217</v>
      </c>
      <c r="E168" s="1379" t="s">
        <v>216</v>
      </c>
      <c r="F168" s="1379"/>
      <c r="G168" s="1472" t="s">
        <v>215</v>
      </c>
      <c r="H168" s="1472" t="s">
        <v>214</v>
      </c>
      <c r="I168" s="1472"/>
      <c r="J168" s="1379" t="s">
        <v>240</v>
      </c>
      <c r="K168" s="1380" t="s">
        <v>212</v>
      </c>
      <c r="M168" s="1473" t="s">
        <v>1887</v>
      </c>
    </row>
    <row r="169" spans="1:13" s="186" customFormat="1">
      <c r="A169" s="1382"/>
      <c r="B169" s="1379"/>
      <c r="C169" s="1379"/>
      <c r="D169" s="1379"/>
      <c r="E169" s="187" t="s">
        <v>211</v>
      </c>
      <c r="F169" s="187" t="s">
        <v>210</v>
      </c>
      <c r="G169" s="1472"/>
      <c r="H169" s="1025" t="s">
        <v>211</v>
      </c>
      <c r="I169" s="1025" t="s">
        <v>210</v>
      </c>
      <c r="J169" s="1379"/>
      <c r="K169" s="1380"/>
      <c r="M169" s="1473"/>
    </row>
    <row r="170" spans="1:13" ht="15.95" customHeight="1">
      <c r="A170" s="188" t="s">
        <v>1131</v>
      </c>
      <c r="B170" s="189"/>
      <c r="C170" s="189"/>
      <c r="D170" s="189"/>
      <c r="E170" s="189"/>
      <c r="F170" s="189"/>
      <c r="G170" s="189"/>
      <c r="H170" s="189"/>
      <c r="I170" s="189"/>
      <c r="J170" s="189"/>
      <c r="K170" s="190">
        <f>+K9+K85+K129</f>
        <v>0</v>
      </c>
    </row>
    <row r="171" spans="1:13" ht="15.95" customHeight="1">
      <c r="A171" s="1026"/>
      <c r="B171" s="996"/>
      <c r="C171" s="996"/>
      <c r="D171" s="996"/>
      <c r="E171" s="996"/>
      <c r="F171" s="996"/>
      <c r="G171" s="1027"/>
      <c r="H171" s="1027"/>
      <c r="I171" s="1027"/>
      <c r="J171" s="996"/>
      <c r="K171" s="1027"/>
    </row>
    <row r="172" spans="1:13" ht="15.95" customHeight="1">
      <c r="A172" s="188" t="s">
        <v>1132</v>
      </c>
      <c r="B172" s="189"/>
      <c r="C172" s="189"/>
      <c r="D172" s="189"/>
      <c r="E172" s="189"/>
      <c r="F172" s="189"/>
      <c r="G172" s="189"/>
      <c r="H172" s="189"/>
      <c r="I172" s="189"/>
      <c r="J172" s="189"/>
      <c r="K172" s="190">
        <f>+K12+K88+K132</f>
        <v>121268922.65000002</v>
      </c>
    </row>
    <row r="173" spans="1:13" ht="15.95" customHeight="1">
      <c r="A173" s="1026"/>
      <c r="B173" s="996"/>
      <c r="C173" s="996"/>
      <c r="D173" s="996"/>
      <c r="E173" s="996"/>
      <c r="F173" s="996"/>
      <c r="G173" s="1027"/>
      <c r="H173" s="1027"/>
      <c r="I173" s="1027"/>
      <c r="J173" s="996"/>
      <c r="K173" s="1027"/>
    </row>
    <row r="174" spans="1:13" ht="15.95" hidden="1" customHeight="1">
      <c r="A174" s="1026"/>
      <c r="B174" s="996"/>
      <c r="C174" s="996"/>
      <c r="D174" s="996"/>
      <c r="E174" s="996"/>
      <c r="F174" s="996"/>
      <c r="G174" s="1027"/>
      <c r="H174" s="1027"/>
      <c r="I174" s="1027"/>
      <c r="J174" s="996"/>
      <c r="K174" s="1027"/>
    </row>
    <row r="175" spans="1:13" ht="15.95" hidden="1" customHeight="1">
      <c r="A175" s="1026"/>
      <c r="B175" s="996"/>
      <c r="C175" s="996"/>
      <c r="D175" s="996"/>
      <c r="E175" s="996"/>
      <c r="F175" s="996"/>
      <c r="G175" s="1027"/>
      <c r="H175" s="1027"/>
      <c r="I175" s="1027"/>
      <c r="J175" s="996"/>
      <c r="K175" s="1027"/>
    </row>
    <row r="176" spans="1:13" ht="15.95" hidden="1" customHeight="1">
      <c r="A176" s="1026"/>
      <c r="B176" s="996"/>
      <c r="C176" s="996"/>
      <c r="D176" s="996"/>
      <c r="E176" s="996"/>
      <c r="F176" s="996"/>
      <c r="G176" s="1027"/>
      <c r="H176" s="1027"/>
      <c r="I176" s="1027"/>
      <c r="J176" s="996"/>
      <c r="K176" s="1027"/>
    </row>
    <row r="177" spans="1:13" ht="15.95" hidden="1" customHeight="1">
      <c r="A177" s="1026"/>
      <c r="B177" s="996"/>
      <c r="C177" s="996"/>
      <c r="D177" s="996"/>
      <c r="E177" s="996"/>
      <c r="F177" s="996"/>
      <c r="G177" s="1027"/>
      <c r="H177" s="1027"/>
      <c r="I177" s="1027"/>
      <c r="J177" s="996"/>
      <c r="K177" s="1027"/>
    </row>
    <row r="178" spans="1:13" ht="15.95" hidden="1" customHeight="1">
      <c r="A178" s="1026"/>
      <c r="B178" s="996"/>
      <c r="C178" s="996"/>
      <c r="D178" s="996"/>
      <c r="E178" s="996"/>
      <c r="F178" s="996"/>
      <c r="G178" s="1027"/>
      <c r="H178" s="1027"/>
      <c r="I178" s="1027"/>
      <c r="J178" s="996"/>
      <c r="K178" s="1027"/>
    </row>
    <row r="179" spans="1:13" ht="15.95" customHeight="1">
      <c r="A179" s="188" t="s">
        <v>1144</v>
      </c>
      <c r="B179" s="189"/>
      <c r="C179" s="189"/>
      <c r="D179" s="189"/>
      <c r="E179" s="189"/>
      <c r="F179" s="189"/>
      <c r="G179" s="189"/>
      <c r="H179" s="189"/>
      <c r="I179" s="189"/>
      <c r="J179" s="189"/>
      <c r="K179" s="190">
        <f>+K27+K96+K141</f>
        <v>9312388.7000000011</v>
      </c>
    </row>
    <row r="180" spans="1:13" s="177" customFormat="1" ht="15.95" customHeight="1">
      <c r="A180" s="1035"/>
      <c r="B180" s="980"/>
      <c r="C180" s="980"/>
      <c r="D180" s="980"/>
      <c r="E180" s="980"/>
      <c r="F180" s="980"/>
      <c r="G180" s="1031"/>
      <c r="H180" s="1031"/>
      <c r="I180" s="1031"/>
      <c r="J180" s="996"/>
      <c r="K180" s="1027"/>
      <c r="L180" s="732"/>
      <c r="M180" s="732"/>
    </row>
    <row r="181" spans="1:13" ht="15.95" customHeight="1">
      <c r="A181" s="188" t="s">
        <v>2065</v>
      </c>
      <c r="B181" s="189"/>
      <c r="C181" s="189"/>
      <c r="D181" s="189"/>
      <c r="E181" s="189"/>
      <c r="F181" s="189"/>
      <c r="G181" s="189"/>
      <c r="H181" s="189"/>
      <c r="I181" s="189"/>
      <c r="J181" s="189"/>
      <c r="K181" s="190">
        <f>+K34+K99+K144</f>
        <v>6408561.5500000007</v>
      </c>
    </row>
    <row r="182" spans="1:13" ht="15.95" customHeight="1">
      <c r="A182" s="1026"/>
      <c r="B182" s="996"/>
      <c r="C182" s="996"/>
      <c r="D182" s="996"/>
      <c r="E182" s="996"/>
      <c r="F182" s="996"/>
      <c r="G182" s="1027"/>
      <c r="H182" s="1027"/>
      <c r="I182" s="1027"/>
      <c r="J182" s="996"/>
      <c r="K182" s="1027"/>
    </row>
    <row r="183" spans="1:13" ht="15.95" customHeight="1">
      <c r="A183" s="188" t="s">
        <v>1162</v>
      </c>
      <c r="B183" s="189"/>
      <c r="C183" s="189"/>
      <c r="D183" s="189"/>
      <c r="E183" s="189"/>
      <c r="F183" s="189"/>
      <c r="G183" s="189"/>
      <c r="H183" s="189"/>
      <c r="I183" s="189"/>
      <c r="J183" s="189"/>
      <c r="K183" s="190">
        <f>+K58+K103+K147</f>
        <v>3969564</v>
      </c>
    </row>
    <row r="184" spans="1:13" ht="15.95" customHeight="1">
      <c r="A184" s="1026"/>
      <c r="B184" s="996"/>
      <c r="C184" s="996"/>
      <c r="D184" s="996"/>
      <c r="E184" s="996"/>
      <c r="F184" s="996"/>
      <c r="G184" s="1027"/>
      <c r="H184" s="1027"/>
      <c r="I184" s="1027"/>
      <c r="J184" s="996"/>
      <c r="K184" s="1027"/>
    </row>
    <row r="185" spans="1:13" ht="15.95" customHeight="1">
      <c r="A185" s="188" t="s">
        <v>1164</v>
      </c>
      <c r="B185" s="189"/>
      <c r="C185" s="189"/>
      <c r="D185" s="189"/>
      <c r="E185" s="189"/>
      <c r="F185" s="189"/>
      <c r="G185" s="189"/>
      <c r="H185" s="189"/>
      <c r="I185" s="189"/>
      <c r="J185" s="189"/>
      <c r="K185" s="190">
        <f>+K61+K107+K150</f>
        <v>3951912.35</v>
      </c>
    </row>
    <row r="186" spans="1:13" ht="15.95" customHeight="1">
      <c r="A186" s="1026"/>
      <c r="B186" s="996"/>
      <c r="C186" s="996"/>
      <c r="D186" s="996"/>
      <c r="E186" s="996"/>
      <c r="F186" s="996"/>
      <c r="G186" s="1027"/>
      <c r="H186" s="1027"/>
      <c r="I186" s="1027"/>
      <c r="J186" s="996"/>
      <c r="K186" s="1027"/>
    </row>
    <row r="187" spans="1:13" ht="15.95" customHeight="1">
      <c r="A187" s="188" t="s">
        <v>1166</v>
      </c>
      <c r="B187" s="189"/>
      <c r="C187" s="189"/>
      <c r="D187" s="189"/>
      <c r="E187" s="189"/>
      <c r="F187" s="189"/>
      <c r="G187" s="189"/>
      <c r="H187" s="189"/>
      <c r="I187" s="189"/>
      <c r="J187" s="189"/>
      <c r="K187" s="190">
        <f>+K68+K110+K153</f>
        <v>0</v>
      </c>
    </row>
    <row r="188" spans="1:13" s="177" customFormat="1" ht="15.95" customHeight="1">
      <c r="A188" s="1035"/>
      <c r="B188" s="980"/>
      <c r="C188" s="980"/>
      <c r="D188" s="980"/>
      <c r="E188" s="980"/>
      <c r="F188" s="980"/>
      <c r="G188" s="1031"/>
      <c r="H188" s="1031"/>
      <c r="I188" s="1031"/>
      <c r="J188" s="980"/>
      <c r="K188" s="1031"/>
    </row>
    <row r="189" spans="1:13" ht="15.95" customHeight="1">
      <c r="A189" s="188" t="s">
        <v>2066</v>
      </c>
      <c r="B189" s="189"/>
      <c r="C189" s="189"/>
      <c r="D189" s="189"/>
      <c r="E189" s="189"/>
      <c r="F189" s="189"/>
      <c r="G189" s="189"/>
      <c r="H189" s="189"/>
      <c r="I189" s="189"/>
      <c r="J189" s="189"/>
      <c r="K189" s="190">
        <f>+K71+K113+K156</f>
        <v>49592397.169999994</v>
      </c>
    </row>
    <row r="190" spans="1:13" ht="15.95" customHeight="1">
      <c r="A190" s="1026"/>
      <c r="B190" s="996"/>
      <c r="C190" s="996"/>
      <c r="D190" s="996"/>
      <c r="E190" s="996"/>
      <c r="F190" s="996"/>
      <c r="G190" s="1027"/>
      <c r="H190" s="1027"/>
      <c r="I190" s="1027"/>
      <c r="J190" s="996"/>
      <c r="K190" s="1027"/>
    </row>
    <row r="191" spans="1:13" ht="15.95" customHeight="1">
      <c r="A191" s="241" t="s">
        <v>2067</v>
      </c>
      <c r="B191" s="242"/>
      <c r="C191" s="242"/>
      <c r="D191" s="242"/>
      <c r="E191" s="242"/>
      <c r="F191" s="242"/>
      <c r="G191" s="1036"/>
      <c r="H191" s="1036"/>
      <c r="I191" s="1036"/>
      <c r="J191" s="242"/>
      <c r="K191" s="1037">
        <f>+K170+K172+K179+K181+K183+K185+K187+K189</f>
        <v>194503746.42000002</v>
      </c>
    </row>
    <row r="192" spans="1:13">
      <c r="K192" s="941">
        <f>+K75+K119+K160</f>
        <v>194503746.42000002</v>
      </c>
    </row>
    <row r="193" spans="11:11">
      <c r="K193" s="941">
        <f>+K191-K192</f>
        <v>0</v>
      </c>
    </row>
  </sheetData>
  <mergeCells count="44">
    <mergeCell ref="H6:I6"/>
    <mergeCell ref="A7:A8"/>
    <mergeCell ref="B7:B8"/>
    <mergeCell ref="C7:C8"/>
    <mergeCell ref="D7:D8"/>
    <mergeCell ref="E7:F7"/>
    <mergeCell ref="G7:G8"/>
    <mergeCell ref="H7:I7"/>
    <mergeCell ref="J7:J8"/>
    <mergeCell ref="K7:K8"/>
    <mergeCell ref="M7:M8"/>
    <mergeCell ref="H82:I82"/>
    <mergeCell ref="A83:A84"/>
    <mergeCell ref="B83:B84"/>
    <mergeCell ref="C83:C84"/>
    <mergeCell ref="D83:D84"/>
    <mergeCell ref="E83:F83"/>
    <mergeCell ref="G83:G84"/>
    <mergeCell ref="A127:A128"/>
    <mergeCell ref="B127:B128"/>
    <mergeCell ref="C127:C128"/>
    <mergeCell ref="D127:D128"/>
    <mergeCell ref="E127:F127"/>
    <mergeCell ref="H167:I167"/>
    <mergeCell ref="H83:I83"/>
    <mergeCell ref="J83:J84"/>
    <mergeCell ref="K83:K84"/>
    <mergeCell ref="M83:M84"/>
    <mergeCell ref="H126:I126"/>
    <mergeCell ref="G127:G128"/>
    <mergeCell ref="H127:I127"/>
    <mergeCell ref="J127:J128"/>
    <mergeCell ref="K127:K128"/>
    <mergeCell ref="M127:M128"/>
    <mergeCell ref="H168:I168"/>
    <mergeCell ref="J168:J169"/>
    <mergeCell ref="K168:K169"/>
    <mergeCell ref="M168:M169"/>
    <mergeCell ref="A168:A169"/>
    <mergeCell ref="B168:B169"/>
    <mergeCell ref="C168:C169"/>
    <mergeCell ref="D168:D169"/>
    <mergeCell ref="E168:F168"/>
    <mergeCell ref="G168:G169"/>
  </mergeCells>
  <pageMargins left="0.62992125984251968" right="0" top="0.19685039370078741" bottom="0.39370078740157483" header="0.31496062992125984" footer="0.31496062992125984"/>
  <pageSetup paperSize="9" scale="46" fitToHeight="3" orientation="landscape" blackAndWhite="1" r:id="rId1"/>
  <rowBreaks count="3" manualBreakCount="3">
    <brk id="75" max="16383" man="1"/>
    <brk id="119" max="16383" man="1"/>
    <brk id="160" max="10" man="1"/>
  </rowBreaks>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M66"/>
  <sheetViews>
    <sheetView showGridLines="0" zoomScaleNormal="100" workbookViewId="0">
      <pane xSplit="1" ySplit="8" topLeftCell="D9" activePane="bottomRight" state="frozen"/>
      <selection pane="topRight"/>
      <selection pane="bottomLeft"/>
      <selection pane="bottomRight"/>
    </sheetView>
  </sheetViews>
  <sheetFormatPr baseColWidth="10" defaultRowHeight="15"/>
  <cols>
    <col min="1" max="1" width="59" customWidth="1"/>
    <col min="2" max="2" width="14.28515625" customWidth="1"/>
    <col min="3" max="3" width="18.7109375" customWidth="1"/>
    <col min="4" max="4" width="22.42578125" customWidth="1"/>
    <col min="5" max="5" width="17.7109375" customWidth="1"/>
    <col min="6" max="6" width="14" customWidth="1"/>
    <col min="7" max="7" width="15.7109375" customWidth="1"/>
    <col min="8" max="8" width="15.42578125" customWidth="1"/>
    <col min="9" max="9" width="15.28515625" customWidth="1"/>
    <col min="10" max="10" width="21.140625" customWidth="1"/>
    <col min="11" max="11" width="20" style="778" customWidth="1"/>
    <col min="12" max="12" width="1.28515625" customWidth="1"/>
    <col min="13" max="13" width="14" bestFit="1" customWidth="1"/>
    <col min="257" max="257" width="59" customWidth="1"/>
    <col min="258" max="258" width="14.28515625" customWidth="1"/>
    <col min="259" max="259" width="18.7109375" customWidth="1"/>
    <col min="260" max="260" width="22.42578125" customWidth="1"/>
    <col min="261" max="261" width="17.7109375" customWidth="1"/>
    <col min="262" max="262" width="14" customWidth="1"/>
    <col min="263" max="263" width="15.7109375" customWidth="1"/>
    <col min="264" max="264" width="15.42578125" customWidth="1"/>
    <col min="265" max="265" width="15.28515625" customWidth="1"/>
    <col min="266" max="266" width="21.140625" customWidth="1"/>
    <col min="267" max="267" width="20" customWidth="1"/>
    <col min="268" max="268" width="1.28515625" customWidth="1"/>
    <col min="269" max="269" width="14" bestFit="1" customWidth="1"/>
    <col min="513" max="513" width="59" customWidth="1"/>
    <col min="514" max="514" width="14.28515625" customWidth="1"/>
    <col min="515" max="515" width="18.7109375" customWidth="1"/>
    <col min="516" max="516" width="22.42578125" customWidth="1"/>
    <col min="517" max="517" width="17.7109375" customWidth="1"/>
    <col min="518" max="518" width="14" customWidth="1"/>
    <col min="519" max="519" width="15.7109375" customWidth="1"/>
    <col min="520" max="520" width="15.42578125" customWidth="1"/>
    <col min="521" max="521" width="15.28515625" customWidth="1"/>
    <col min="522" max="522" width="21.140625" customWidth="1"/>
    <col min="523" max="523" width="20" customWidth="1"/>
    <col min="524" max="524" width="1.28515625" customWidth="1"/>
    <col min="525" max="525" width="14" bestFit="1" customWidth="1"/>
    <col min="769" max="769" width="59" customWidth="1"/>
    <col min="770" max="770" width="14.28515625" customWidth="1"/>
    <col min="771" max="771" width="18.7109375" customWidth="1"/>
    <col min="772" max="772" width="22.42578125" customWidth="1"/>
    <col min="773" max="773" width="17.7109375" customWidth="1"/>
    <col min="774" max="774" width="14" customWidth="1"/>
    <col min="775" max="775" width="15.7109375" customWidth="1"/>
    <col min="776" max="776" width="15.42578125" customWidth="1"/>
    <col min="777" max="777" width="15.28515625" customWidth="1"/>
    <col min="778" max="778" width="21.140625" customWidth="1"/>
    <col min="779" max="779" width="20" customWidth="1"/>
    <col min="780" max="780" width="1.28515625" customWidth="1"/>
    <col min="781" max="781" width="14" bestFit="1" customWidth="1"/>
    <col min="1025" max="1025" width="59" customWidth="1"/>
    <col min="1026" max="1026" width="14.28515625" customWidth="1"/>
    <col min="1027" max="1027" width="18.7109375" customWidth="1"/>
    <col min="1028" max="1028" width="22.42578125" customWidth="1"/>
    <col min="1029" max="1029" width="17.7109375" customWidth="1"/>
    <col min="1030" max="1030" width="14" customWidth="1"/>
    <col min="1031" max="1031" width="15.7109375" customWidth="1"/>
    <col min="1032" max="1032" width="15.42578125" customWidth="1"/>
    <col min="1033" max="1033" width="15.28515625" customWidth="1"/>
    <col min="1034" max="1034" width="21.140625" customWidth="1"/>
    <col min="1035" max="1035" width="20" customWidth="1"/>
    <col min="1036" max="1036" width="1.28515625" customWidth="1"/>
    <col min="1037" max="1037" width="14" bestFit="1" customWidth="1"/>
    <col min="1281" max="1281" width="59" customWidth="1"/>
    <col min="1282" max="1282" width="14.28515625" customWidth="1"/>
    <col min="1283" max="1283" width="18.7109375" customWidth="1"/>
    <col min="1284" max="1284" width="22.42578125" customWidth="1"/>
    <col min="1285" max="1285" width="17.7109375" customWidth="1"/>
    <col min="1286" max="1286" width="14" customWidth="1"/>
    <col min="1287" max="1287" width="15.7109375" customWidth="1"/>
    <col min="1288" max="1288" width="15.42578125" customWidth="1"/>
    <col min="1289" max="1289" width="15.28515625" customWidth="1"/>
    <col min="1290" max="1290" width="21.140625" customWidth="1"/>
    <col min="1291" max="1291" width="20" customWidth="1"/>
    <col min="1292" max="1292" width="1.28515625" customWidth="1"/>
    <col min="1293" max="1293" width="14" bestFit="1" customWidth="1"/>
    <col min="1537" max="1537" width="59" customWidth="1"/>
    <col min="1538" max="1538" width="14.28515625" customWidth="1"/>
    <col min="1539" max="1539" width="18.7109375" customWidth="1"/>
    <col min="1540" max="1540" width="22.42578125" customWidth="1"/>
    <col min="1541" max="1541" width="17.7109375" customWidth="1"/>
    <col min="1542" max="1542" width="14" customWidth="1"/>
    <col min="1543" max="1543" width="15.7109375" customWidth="1"/>
    <col min="1544" max="1544" width="15.42578125" customWidth="1"/>
    <col min="1545" max="1545" width="15.28515625" customWidth="1"/>
    <col min="1546" max="1546" width="21.140625" customWidth="1"/>
    <col min="1547" max="1547" width="20" customWidth="1"/>
    <col min="1548" max="1548" width="1.28515625" customWidth="1"/>
    <col min="1549" max="1549" width="14" bestFit="1" customWidth="1"/>
    <col min="1793" max="1793" width="59" customWidth="1"/>
    <col min="1794" max="1794" width="14.28515625" customWidth="1"/>
    <col min="1795" max="1795" width="18.7109375" customWidth="1"/>
    <col min="1796" max="1796" width="22.42578125" customWidth="1"/>
    <col min="1797" max="1797" width="17.7109375" customWidth="1"/>
    <col min="1798" max="1798" width="14" customWidth="1"/>
    <col min="1799" max="1799" width="15.7109375" customWidth="1"/>
    <col min="1800" max="1800" width="15.42578125" customWidth="1"/>
    <col min="1801" max="1801" width="15.28515625" customWidth="1"/>
    <col min="1802" max="1802" width="21.140625" customWidth="1"/>
    <col min="1803" max="1803" width="20" customWidth="1"/>
    <col min="1804" max="1804" width="1.28515625" customWidth="1"/>
    <col min="1805" max="1805" width="14" bestFit="1" customWidth="1"/>
    <col min="2049" max="2049" width="59" customWidth="1"/>
    <col min="2050" max="2050" width="14.28515625" customWidth="1"/>
    <col min="2051" max="2051" width="18.7109375" customWidth="1"/>
    <col min="2052" max="2052" width="22.42578125" customWidth="1"/>
    <col min="2053" max="2053" width="17.7109375" customWidth="1"/>
    <col min="2054" max="2054" width="14" customWidth="1"/>
    <col min="2055" max="2055" width="15.7109375" customWidth="1"/>
    <col min="2056" max="2056" width="15.42578125" customWidth="1"/>
    <col min="2057" max="2057" width="15.28515625" customWidth="1"/>
    <col min="2058" max="2058" width="21.140625" customWidth="1"/>
    <col min="2059" max="2059" width="20" customWidth="1"/>
    <col min="2060" max="2060" width="1.28515625" customWidth="1"/>
    <col min="2061" max="2061" width="14" bestFit="1" customWidth="1"/>
    <col min="2305" max="2305" width="59" customWidth="1"/>
    <col min="2306" max="2306" width="14.28515625" customWidth="1"/>
    <col min="2307" max="2307" width="18.7109375" customWidth="1"/>
    <col min="2308" max="2308" width="22.42578125" customWidth="1"/>
    <col min="2309" max="2309" width="17.7109375" customWidth="1"/>
    <col min="2310" max="2310" width="14" customWidth="1"/>
    <col min="2311" max="2311" width="15.7109375" customWidth="1"/>
    <col min="2312" max="2312" width="15.42578125" customWidth="1"/>
    <col min="2313" max="2313" width="15.28515625" customWidth="1"/>
    <col min="2314" max="2314" width="21.140625" customWidth="1"/>
    <col min="2315" max="2315" width="20" customWidth="1"/>
    <col min="2316" max="2316" width="1.28515625" customWidth="1"/>
    <col min="2317" max="2317" width="14" bestFit="1" customWidth="1"/>
    <col min="2561" max="2561" width="59" customWidth="1"/>
    <col min="2562" max="2562" width="14.28515625" customWidth="1"/>
    <col min="2563" max="2563" width="18.7109375" customWidth="1"/>
    <col min="2564" max="2564" width="22.42578125" customWidth="1"/>
    <col min="2565" max="2565" width="17.7109375" customWidth="1"/>
    <col min="2566" max="2566" width="14" customWidth="1"/>
    <col min="2567" max="2567" width="15.7109375" customWidth="1"/>
    <col min="2568" max="2568" width="15.42578125" customWidth="1"/>
    <col min="2569" max="2569" width="15.28515625" customWidth="1"/>
    <col min="2570" max="2570" width="21.140625" customWidth="1"/>
    <col min="2571" max="2571" width="20" customWidth="1"/>
    <col min="2572" max="2572" width="1.28515625" customWidth="1"/>
    <col min="2573" max="2573" width="14" bestFit="1" customWidth="1"/>
    <col min="2817" max="2817" width="59" customWidth="1"/>
    <col min="2818" max="2818" width="14.28515625" customWidth="1"/>
    <col min="2819" max="2819" width="18.7109375" customWidth="1"/>
    <col min="2820" max="2820" width="22.42578125" customWidth="1"/>
    <col min="2821" max="2821" width="17.7109375" customWidth="1"/>
    <col min="2822" max="2822" width="14" customWidth="1"/>
    <col min="2823" max="2823" width="15.7109375" customWidth="1"/>
    <col min="2824" max="2824" width="15.42578125" customWidth="1"/>
    <col min="2825" max="2825" width="15.28515625" customWidth="1"/>
    <col min="2826" max="2826" width="21.140625" customWidth="1"/>
    <col min="2827" max="2827" width="20" customWidth="1"/>
    <col min="2828" max="2828" width="1.28515625" customWidth="1"/>
    <col min="2829" max="2829" width="14" bestFit="1" customWidth="1"/>
    <col min="3073" max="3073" width="59" customWidth="1"/>
    <col min="3074" max="3074" width="14.28515625" customWidth="1"/>
    <col min="3075" max="3075" width="18.7109375" customWidth="1"/>
    <col min="3076" max="3076" width="22.42578125" customWidth="1"/>
    <col min="3077" max="3077" width="17.7109375" customWidth="1"/>
    <col min="3078" max="3078" width="14" customWidth="1"/>
    <col min="3079" max="3079" width="15.7109375" customWidth="1"/>
    <col min="3080" max="3080" width="15.42578125" customWidth="1"/>
    <col min="3081" max="3081" width="15.28515625" customWidth="1"/>
    <col min="3082" max="3082" width="21.140625" customWidth="1"/>
    <col min="3083" max="3083" width="20" customWidth="1"/>
    <col min="3084" max="3084" width="1.28515625" customWidth="1"/>
    <col min="3085" max="3085" width="14" bestFit="1" customWidth="1"/>
    <col min="3329" max="3329" width="59" customWidth="1"/>
    <col min="3330" max="3330" width="14.28515625" customWidth="1"/>
    <col min="3331" max="3331" width="18.7109375" customWidth="1"/>
    <col min="3332" max="3332" width="22.42578125" customWidth="1"/>
    <col min="3333" max="3333" width="17.7109375" customWidth="1"/>
    <col min="3334" max="3334" width="14" customWidth="1"/>
    <col min="3335" max="3335" width="15.7109375" customWidth="1"/>
    <col min="3336" max="3336" width="15.42578125" customWidth="1"/>
    <col min="3337" max="3337" width="15.28515625" customWidth="1"/>
    <col min="3338" max="3338" width="21.140625" customWidth="1"/>
    <col min="3339" max="3339" width="20" customWidth="1"/>
    <col min="3340" max="3340" width="1.28515625" customWidth="1"/>
    <col min="3341" max="3341" width="14" bestFit="1" customWidth="1"/>
    <col min="3585" max="3585" width="59" customWidth="1"/>
    <col min="3586" max="3586" width="14.28515625" customWidth="1"/>
    <col min="3587" max="3587" width="18.7109375" customWidth="1"/>
    <col min="3588" max="3588" width="22.42578125" customWidth="1"/>
    <col min="3589" max="3589" width="17.7109375" customWidth="1"/>
    <col min="3590" max="3590" width="14" customWidth="1"/>
    <col min="3591" max="3591" width="15.7109375" customWidth="1"/>
    <col min="3592" max="3592" width="15.42578125" customWidth="1"/>
    <col min="3593" max="3593" width="15.28515625" customWidth="1"/>
    <col min="3594" max="3594" width="21.140625" customWidth="1"/>
    <col min="3595" max="3595" width="20" customWidth="1"/>
    <col min="3596" max="3596" width="1.28515625" customWidth="1"/>
    <col min="3597" max="3597" width="14" bestFit="1" customWidth="1"/>
    <col min="3841" max="3841" width="59" customWidth="1"/>
    <col min="3842" max="3842" width="14.28515625" customWidth="1"/>
    <col min="3843" max="3843" width="18.7109375" customWidth="1"/>
    <col min="3844" max="3844" width="22.42578125" customWidth="1"/>
    <col min="3845" max="3845" width="17.7109375" customWidth="1"/>
    <col min="3846" max="3846" width="14" customWidth="1"/>
    <col min="3847" max="3847" width="15.7109375" customWidth="1"/>
    <col min="3848" max="3848" width="15.42578125" customWidth="1"/>
    <col min="3849" max="3849" width="15.28515625" customWidth="1"/>
    <col min="3850" max="3850" width="21.140625" customWidth="1"/>
    <col min="3851" max="3851" width="20" customWidth="1"/>
    <col min="3852" max="3852" width="1.28515625" customWidth="1"/>
    <col min="3853" max="3853" width="14" bestFit="1" customWidth="1"/>
    <col min="4097" max="4097" width="59" customWidth="1"/>
    <col min="4098" max="4098" width="14.28515625" customWidth="1"/>
    <col min="4099" max="4099" width="18.7109375" customWidth="1"/>
    <col min="4100" max="4100" width="22.42578125" customWidth="1"/>
    <col min="4101" max="4101" width="17.7109375" customWidth="1"/>
    <col min="4102" max="4102" width="14" customWidth="1"/>
    <col min="4103" max="4103" width="15.7109375" customWidth="1"/>
    <col min="4104" max="4104" width="15.42578125" customWidth="1"/>
    <col min="4105" max="4105" width="15.28515625" customWidth="1"/>
    <col min="4106" max="4106" width="21.140625" customWidth="1"/>
    <col min="4107" max="4107" width="20" customWidth="1"/>
    <col min="4108" max="4108" width="1.28515625" customWidth="1"/>
    <col min="4109" max="4109" width="14" bestFit="1" customWidth="1"/>
    <col min="4353" max="4353" width="59" customWidth="1"/>
    <col min="4354" max="4354" width="14.28515625" customWidth="1"/>
    <col min="4355" max="4355" width="18.7109375" customWidth="1"/>
    <col min="4356" max="4356" width="22.42578125" customWidth="1"/>
    <col min="4357" max="4357" width="17.7109375" customWidth="1"/>
    <col min="4358" max="4358" width="14" customWidth="1"/>
    <col min="4359" max="4359" width="15.7109375" customWidth="1"/>
    <col min="4360" max="4360" width="15.42578125" customWidth="1"/>
    <col min="4361" max="4361" width="15.28515625" customWidth="1"/>
    <col min="4362" max="4362" width="21.140625" customWidth="1"/>
    <col min="4363" max="4363" width="20" customWidth="1"/>
    <col min="4364" max="4364" width="1.28515625" customWidth="1"/>
    <col min="4365" max="4365" width="14" bestFit="1" customWidth="1"/>
    <col min="4609" max="4609" width="59" customWidth="1"/>
    <col min="4610" max="4610" width="14.28515625" customWidth="1"/>
    <col min="4611" max="4611" width="18.7109375" customWidth="1"/>
    <col min="4612" max="4612" width="22.42578125" customWidth="1"/>
    <col min="4613" max="4613" width="17.7109375" customWidth="1"/>
    <col min="4614" max="4614" width="14" customWidth="1"/>
    <col min="4615" max="4615" width="15.7109375" customWidth="1"/>
    <col min="4616" max="4616" width="15.42578125" customWidth="1"/>
    <col min="4617" max="4617" width="15.28515625" customWidth="1"/>
    <col min="4618" max="4618" width="21.140625" customWidth="1"/>
    <col min="4619" max="4619" width="20" customWidth="1"/>
    <col min="4620" max="4620" width="1.28515625" customWidth="1"/>
    <col min="4621" max="4621" width="14" bestFit="1" customWidth="1"/>
    <col min="4865" max="4865" width="59" customWidth="1"/>
    <col min="4866" max="4866" width="14.28515625" customWidth="1"/>
    <col min="4867" max="4867" width="18.7109375" customWidth="1"/>
    <col min="4868" max="4868" width="22.42578125" customWidth="1"/>
    <col min="4869" max="4869" width="17.7109375" customWidth="1"/>
    <col min="4870" max="4870" width="14" customWidth="1"/>
    <col min="4871" max="4871" width="15.7109375" customWidth="1"/>
    <col min="4872" max="4872" width="15.42578125" customWidth="1"/>
    <col min="4873" max="4873" width="15.28515625" customWidth="1"/>
    <col min="4874" max="4874" width="21.140625" customWidth="1"/>
    <col min="4875" max="4875" width="20" customWidth="1"/>
    <col min="4876" max="4876" width="1.28515625" customWidth="1"/>
    <col min="4877" max="4877" width="14" bestFit="1" customWidth="1"/>
    <col min="5121" max="5121" width="59" customWidth="1"/>
    <col min="5122" max="5122" width="14.28515625" customWidth="1"/>
    <col min="5123" max="5123" width="18.7109375" customWidth="1"/>
    <col min="5124" max="5124" width="22.42578125" customWidth="1"/>
    <col min="5125" max="5125" width="17.7109375" customWidth="1"/>
    <col min="5126" max="5126" width="14" customWidth="1"/>
    <col min="5127" max="5127" width="15.7109375" customWidth="1"/>
    <col min="5128" max="5128" width="15.42578125" customWidth="1"/>
    <col min="5129" max="5129" width="15.28515625" customWidth="1"/>
    <col min="5130" max="5130" width="21.140625" customWidth="1"/>
    <col min="5131" max="5131" width="20" customWidth="1"/>
    <col min="5132" max="5132" width="1.28515625" customWidth="1"/>
    <col min="5133" max="5133" width="14" bestFit="1" customWidth="1"/>
    <col min="5377" max="5377" width="59" customWidth="1"/>
    <col min="5378" max="5378" width="14.28515625" customWidth="1"/>
    <col min="5379" max="5379" width="18.7109375" customWidth="1"/>
    <col min="5380" max="5380" width="22.42578125" customWidth="1"/>
    <col min="5381" max="5381" width="17.7109375" customWidth="1"/>
    <col min="5382" max="5382" width="14" customWidth="1"/>
    <col min="5383" max="5383" width="15.7109375" customWidth="1"/>
    <col min="5384" max="5384" width="15.42578125" customWidth="1"/>
    <col min="5385" max="5385" width="15.28515625" customWidth="1"/>
    <col min="5386" max="5386" width="21.140625" customWidth="1"/>
    <col min="5387" max="5387" width="20" customWidth="1"/>
    <col min="5388" max="5388" width="1.28515625" customWidth="1"/>
    <col min="5389" max="5389" width="14" bestFit="1" customWidth="1"/>
    <col min="5633" max="5633" width="59" customWidth="1"/>
    <col min="5634" max="5634" width="14.28515625" customWidth="1"/>
    <col min="5635" max="5635" width="18.7109375" customWidth="1"/>
    <col min="5636" max="5636" width="22.42578125" customWidth="1"/>
    <col min="5637" max="5637" width="17.7109375" customWidth="1"/>
    <col min="5638" max="5638" width="14" customWidth="1"/>
    <col min="5639" max="5639" width="15.7109375" customWidth="1"/>
    <col min="5640" max="5640" width="15.42578125" customWidth="1"/>
    <col min="5641" max="5641" width="15.28515625" customWidth="1"/>
    <col min="5642" max="5642" width="21.140625" customWidth="1"/>
    <col min="5643" max="5643" width="20" customWidth="1"/>
    <col min="5644" max="5644" width="1.28515625" customWidth="1"/>
    <col min="5645" max="5645" width="14" bestFit="1" customWidth="1"/>
    <col min="5889" max="5889" width="59" customWidth="1"/>
    <col min="5890" max="5890" width="14.28515625" customWidth="1"/>
    <col min="5891" max="5891" width="18.7109375" customWidth="1"/>
    <col min="5892" max="5892" width="22.42578125" customWidth="1"/>
    <col min="5893" max="5893" width="17.7109375" customWidth="1"/>
    <col min="5894" max="5894" width="14" customWidth="1"/>
    <col min="5895" max="5895" width="15.7109375" customWidth="1"/>
    <col min="5896" max="5896" width="15.42578125" customWidth="1"/>
    <col min="5897" max="5897" width="15.28515625" customWidth="1"/>
    <col min="5898" max="5898" width="21.140625" customWidth="1"/>
    <col min="5899" max="5899" width="20" customWidth="1"/>
    <col min="5900" max="5900" width="1.28515625" customWidth="1"/>
    <col min="5901" max="5901" width="14" bestFit="1" customWidth="1"/>
    <col min="6145" max="6145" width="59" customWidth="1"/>
    <col min="6146" max="6146" width="14.28515625" customWidth="1"/>
    <col min="6147" max="6147" width="18.7109375" customWidth="1"/>
    <col min="6148" max="6148" width="22.42578125" customWidth="1"/>
    <col min="6149" max="6149" width="17.7109375" customWidth="1"/>
    <col min="6150" max="6150" width="14" customWidth="1"/>
    <col min="6151" max="6151" width="15.7109375" customWidth="1"/>
    <col min="6152" max="6152" width="15.42578125" customWidth="1"/>
    <col min="6153" max="6153" width="15.28515625" customWidth="1"/>
    <col min="6154" max="6154" width="21.140625" customWidth="1"/>
    <col min="6155" max="6155" width="20" customWidth="1"/>
    <col min="6156" max="6156" width="1.28515625" customWidth="1"/>
    <col min="6157" max="6157" width="14" bestFit="1" customWidth="1"/>
    <col min="6401" max="6401" width="59" customWidth="1"/>
    <col min="6402" max="6402" width="14.28515625" customWidth="1"/>
    <col min="6403" max="6403" width="18.7109375" customWidth="1"/>
    <col min="6404" max="6404" width="22.42578125" customWidth="1"/>
    <col min="6405" max="6405" width="17.7109375" customWidth="1"/>
    <col min="6406" max="6406" width="14" customWidth="1"/>
    <col min="6407" max="6407" width="15.7109375" customWidth="1"/>
    <col min="6408" max="6408" width="15.42578125" customWidth="1"/>
    <col min="6409" max="6409" width="15.28515625" customWidth="1"/>
    <col min="6410" max="6410" width="21.140625" customWidth="1"/>
    <col min="6411" max="6411" width="20" customWidth="1"/>
    <col min="6412" max="6412" width="1.28515625" customWidth="1"/>
    <col min="6413" max="6413" width="14" bestFit="1" customWidth="1"/>
    <col min="6657" max="6657" width="59" customWidth="1"/>
    <col min="6658" max="6658" width="14.28515625" customWidth="1"/>
    <col min="6659" max="6659" width="18.7109375" customWidth="1"/>
    <col min="6660" max="6660" width="22.42578125" customWidth="1"/>
    <col min="6661" max="6661" width="17.7109375" customWidth="1"/>
    <col min="6662" max="6662" width="14" customWidth="1"/>
    <col min="6663" max="6663" width="15.7109375" customWidth="1"/>
    <col min="6664" max="6664" width="15.42578125" customWidth="1"/>
    <col min="6665" max="6665" width="15.28515625" customWidth="1"/>
    <col min="6666" max="6666" width="21.140625" customWidth="1"/>
    <col min="6667" max="6667" width="20" customWidth="1"/>
    <col min="6668" max="6668" width="1.28515625" customWidth="1"/>
    <col min="6669" max="6669" width="14" bestFit="1" customWidth="1"/>
    <col min="6913" max="6913" width="59" customWidth="1"/>
    <col min="6914" max="6914" width="14.28515625" customWidth="1"/>
    <col min="6915" max="6915" width="18.7109375" customWidth="1"/>
    <col min="6916" max="6916" width="22.42578125" customWidth="1"/>
    <col min="6917" max="6917" width="17.7109375" customWidth="1"/>
    <col min="6918" max="6918" width="14" customWidth="1"/>
    <col min="6919" max="6919" width="15.7109375" customWidth="1"/>
    <col min="6920" max="6920" width="15.42578125" customWidth="1"/>
    <col min="6921" max="6921" width="15.28515625" customWidth="1"/>
    <col min="6922" max="6922" width="21.140625" customWidth="1"/>
    <col min="6923" max="6923" width="20" customWidth="1"/>
    <col min="6924" max="6924" width="1.28515625" customWidth="1"/>
    <col min="6925" max="6925" width="14" bestFit="1" customWidth="1"/>
    <col min="7169" max="7169" width="59" customWidth="1"/>
    <col min="7170" max="7170" width="14.28515625" customWidth="1"/>
    <col min="7171" max="7171" width="18.7109375" customWidth="1"/>
    <col min="7172" max="7172" width="22.42578125" customWidth="1"/>
    <col min="7173" max="7173" width="17.7109375" customWidth="1"/>
    <col min="7174" max="7174" width="14" customWidth="1"/>
    <col min="7175" max="7175" width="15.7109375" customWidth="1"/>
    <col min="7176" max="7176" width="15.42578125" customWidth="1"/>
    <col min="7177" max="7177" width="15.28515625" customWidth="1"/>
    <col min="7178" max="7178" width="21.140625" customWidth="1"/>
    <col min="7179" max="7179" width="20" customWidth="1"/>
    <col min="7180" max="7180" width="1.28515625" customWidth="1"/>
    <col min="7181" max="7181" width="14" bestFit="1" customWidth="1"/>
    <col min="7425" max="7425" width="59" customWidth="1"/>
    <col min="7426" max="7426" width="14.28515625" customWidth="1"/>
    <col min="7427" max="7427" width="18.7109375" customWidth="1"/>
    <col min="7428" max="7428" width="22.42578125" customWidth="1"/>
    <col min="7429" max="7429" width="17.7109375" customWidth="1"/>
    <col min="7430" max="7430" width="14" customWidth="1"/>
    <col min="7431" max="7431" width="15.7109375" customWidth="1"/>
    <col min="7432" max="7432" width="15.42578125" customWidth="1"/>
    <col min="7433" max="7433" width="15.28515625" customWidth="1"/>
    <col min="7434" max="7434" width="21.140625" customWidth="1"/>
    <col min="7435" max="7435" width="20" customWidth="1"/>
    <col min="7436" max="7436" width="1.28515625" customWidth="1"/>
    <col min="7437" max="7437" width="14" bestFit="1" customWidth="1"/>
    <col min="7681" max="7681" width="59" customWidth="1"/>
    <col min="7682" max="7682" width="14.28515625" customWidth="1"/>
    <col min="7683" max="7683" width="18.7109375" customWidth="1"/>
    <col min="7684" max="7684" width="22.42578125" customWidth="1"/>
    <col min="7685" max="7685" width="17.7109375" customWidth="1"/>
    <col min="7686" max="7686" width="14" customWidth="1"/>
    <col min="7687" max="7687" width="15.7109375" customWidth="1"/>
    <col min="7688" max="7688" width="15.42578125" customWidth="1"/>
    <col min="7689" max="7689" width="15.28515625" customWidth="1"/>
    <col min="7690" max="7690" width="21.140625" customWidth="1"/>
    <col min="7691" max="7691" width="20" customWidth="1"/>
    <col min="7692" max="7692" width="1.28515625" customWidth="1"/>
    <col min="7693" max="7693" width="14" bestFit="1" customWidth="1"/>
    <col min="7937" max="7937" width="59" customWidth="1"/>
    <col min="7938" max="7938" width="14.28515625" customWidth="1"/>
    <col min="7939" max="7939" width="18.7109375" customWidth="1"/>
    <col min="7940" max="7940" width="22.42578125" customWidth="1"/>
    <col min="7941" max="7941" width="17.7109375" customWidth="1"/>
    <col min="7942" max="7942" width="14" customWidth="1"/>
    <col min="7943" max="7943" width="15.7109375" customWidth="1"/>
    <col min="7944" max="7944" width="15.42578125" customWidth="1"/>
    <col min="7945" max="7945" width="15.28515625" customWidth="1"/>
    <col min="7946" max="7946" width="21.140625" customWidth="1"/>
    <col min="7947" max="7947" width="20" customWidth="1"/>
    <col min="7948" max="7948" width="1.28515625" customWidth="1"/>
    <col min="7949" max="7949" width="14" bestFit="1" customWidth="1"/>
    <col min="8193" max="8193" width="59" customWidth="1"/>
    <col min="8194" max="8194" width="14.28515625" customWidth="1"/>
    <col min="8195" max="8195" width="18.7109375" customWidth="1"/>
    <col min="8196" max="8196" width="22.42578125" customWidth="1"/>
    <col min="8197" max="8197" width="17.7109375" customWidth="1"/>
    <col min="8198" max="8198" width="14" customWidth="1"/>
    <col min="8199" max="8199" width="15.7109375" customWidth="1"/>
    <col min="8200" max="8200" width="15.42578125" customWidth="1"/>
    <col min="8201" max="8201" width="15.28515625" customWidth="1"/>
    <col min="8202" max="8202" width="21.140625" customWidth="1"/>
    <col min="8203" max="8203" width="20" customWidth="1"/>
    <col min="8204" max="8204" width="1.28515625" customWidth="1"/>
    <col min="8205" max="8205" width="14" bestFit="1" customWidth="1"/>
    <col min="8449" max="8449" width="59" customWidth="1"/>
    <col min="8450" max="8450" width="14.28515625" customWidth="1"/>
    <col min="8451" max="8451" width="18.7109375" customWidth="1"/>
    <col min="8452" max="8452" width="22.42578125" customWidth="1"/>
    <col min="8453" max="8453" width="17.7109375" customWidth="1"/>
    <col min="8454" max="8454" width="14" customWidth="1"/>
    <col min="8455" max="8455" width="15.7109375" customWidth="1"/>
    <col min="8456" max="8456" width="15.42578125" customWidth="1"/>
    <col min="8457" max="8457" width="15.28515625" customWidth="1"/>
    <col min="8458" max="8458" width="21.140625" customWidth="1"/>
    <col min="8459" max="8459" width="20" customWidth="1"/>
    <col min="8460" max="8460" width="1.28515625" customWidth="1"/>
    <col min="8461" max="8461" width="14" bestFit="1" customWidth="1"/>
    <col min="8705" max="8705" width="59" customWidth="1"/>
    <col min="8706" max="8706" width="14.28515625" customWidth="1"/>
    <col min="8707" max="8707" width="18.7109375" customWidth="1"/>
    <col min="8708" max="8708" width="22.42578125" customWidth="1"/>
    <col min="8709" max="8709" width="17.7109375" customWidth="1"/>
    <col min="8710" max="8710" width="14" customWidth="1"/>
    <col min="8711" max="8711" width="15.7109375" customWidth="1"/>
    <col min="8712" max="8712" width="15.42578125" customWidth="1"/>
    <col min="8713" max="8713" width="15.28515625" customWidth="1"/>
    <col min="8714" max="8714" width="21.140625" customWidth="1"/>
    <col min="8715" max="8715" width="20" customWidth="1"/>
    <col min="8716" max="8716" width="1.28515625" customWidth="1"/>
    <col min="8717" max="8717" width="14" bestFit="1" customWidth="1"/>
    <col min="8961" max="8961" width="59" customWidth="1"/>
    <col min="8962" max="8962" width="14.28515625" customWidth="1"/>
    <col min="8963" max="8963" width="18.7109375" customWidth="1"/>
    <col min="8964" max="8964" width="22.42578125" customWidth="1"/>
    <col min="8965" max="8965" width="17.7109375" customWidth="1"/>
    <col min="8966" max="8966" width="14" customWidth="1"/>
    <col min="8967" max="8967" width="15.7109375" customWidth="1"/>
    <col min="8968" max="8968" width="15.42578125" customWidth="1"/>
    <col min="8969" max="8969" width="15.28515625" customWidth="1"/>
    <col min="8970" max="8970" width="21.140625" customWidth="1"/>
    <col min="8971" max="8971" width="20" customWidth="1"/>
    <col min="8972" max="8972" width="1.28515625" customWidth="1"/>
    <col min="8973" max="8973" width="14" bestFit="1" customWidth="1"/>
    <col min="9217" max="9217" width="59" customWidth="1"/>
    <col min="9218" max="9218" width="14.28515625" customWidth="1"/>
    <col min="9219" max="9219" width="18.7109375" customWidth="1"/>
    <col min="9220" max="9220" width="22.42578125" customWidth="1"/>
    <col min="9221" max="9221" width="17.7109375" customWidth="1"/>
    <col min="9222" max="9222" width="14" customWidth="1"/>
    <col min="9223" max="9223" width="15.7109375" customWidth="1"/>
    <col min="9224" max="9224" width="15.42578125" customWidth="1"/>
    <col min="9225" max="9225" width="15.28515625" customWidth="1"/>
    <col min="9226" max="9226" width="21.140625" customWidth="1"/>
    <col min="9227" max="9227" width="20" customWidth="1"/>
    <col min="9228" max="9228" width="1.28515625" customWidth="1"/>
    <col min="9229" max="9229" width="14" bestFit="1" customWidth="1"/>
    <col min="9473" max="9473" width="59" customWidth="1"/>
    <col min="9474" max="9474" width="14.28515625" customWidth="1"/>
    <col min="9475" max="9475" width="18.7109375" customWidth="1"/>
    <col min="9476" max="9476" width="22.42578125" customWidth="1"/>
    <col min="9477" max="9477" width="17.7109375" customWidth="1"/>
    <col min="9478" max="9478" width="14" customWidth="1"/>
    <col min="9479" max="9479" width="15.7109375" customWidth="1"/>
    <col min="9480" max="9480" width="15.42578125" customWidth="1"/>
    <col min="9481" max="9481" width="15.28515625" customWidth="1"/>
    <col min="9482" max="9482" width="21.140625" customWidth="1"/>
    <col min="9483" max="9483" width="20" customWidth="1"/>
    <col min="9484" max="9484" width="1.28515625" customWidth="1"/>
    <col min="9485" max="9485" width="14" bestFit="1" customWidth="1"/>
    <col min="9729" max="9729" width="59" customWidth="1"/>
    <col min="9730" max="9730" width="14.28515625" customWidth="1"/>
    <col min="9731" max="9731" width="18.7109375" customWidth="1"/>
    <col min="9732" max="9732" width="22.42578125" customWidth="1"/>
    <col min="9733" max="9733" width="17.7109375" customWidth="1"/>
    <col min="9734" max="9734" width="14" customWidth="1"/>
    <col min="9735" max="9735" width="15.7109375" customWidth="1"/>
    <col min="9736" max="9736" width="15.42578125" customWidth="1"/>
    <col min="9737" max="9737" width="15.28515625" customWidth="1"/>
    <col min="9738" max="9738" width="21.140625" customWidth="1"/>
    <col min="9739" max="9739" width="20" customWidth="1"/>
    <col min="9740" max="9740" width="1.28515625" customWidth="1"/>
    <col min="9741" max="9741" width="14" bestFit="1" customWidth="1"/>
    <col min="9985" max="9985" width="59" customWidth="1"/>
    <col min="9986" max="9986" width="14.28515625" customWidth="1"/>
    <col min="9987" max="9987" width="18.7109375" customWidth="1"/>
    <col min="9988" max="9988" width="22.42578125" customWidth="1"/>
    <col min="9989" max="9989" width="17.7109375" customWidth="1"/>
    <col min="9990" max="9990" width="14" customWidth="1"/>
    <col min="9991" max="9991" width="15.7109375" customWidth="1"/>
    <col min="9992" max="9992" width="15.42578125" customWidth="1"/>
    <col min="9993" max="9993" width="15.28515625" customWidth="1"/>
    <col min="9994" max="9994" width="21.140625" customWidth="1"/>
    <col min="9995" max="9995" width="20" customWidth="1"/>
    <col min="9996" max="9996" width="1.28515625" customWidth="1"/>
    <col min="9997" max="9997" width="14" bestFit="1" customWidth="1"/>
    <col min="10241" max="10241" width="59" customWidth="1"/>
    <col min="10242" max="10242" width="14.28515625" customWidth="1"/>
    <col min="10243" max="10243" width="18.7109375" customWidth="1"/>
    <col min="10244" max="10244" width="22.42578125" customWidth="1"/>
    <col min="10245" max="10245" width="17.7109375" customWidth="1"/>
    <col min="10246" max="10246" width="14" customWidth="1"/>
    <col min="10247" max="10247" width="15.7109375" customWidth="1"/>
    <col min="10248" max="10248" width="15.42578125" customWidth="1"/>
    <col min="10249" max="10249" width="15.28515625" customWidth="1"/>
    <col min="10250" max="10250" width="21.140625" customWidth="1"/>
    <col min="10251" max="10251" width="20" customWidth="1"/>
    <col min="10252" max="10252" width="1.28515625" customWidth="1"/>
    <col min="10253" max="10253" width="14" bestFit="1" customWidth="1"/>
    <col min="10497" max="10497" width="59" customWidth="1"/>
    <col min="10498" max="10498" width="14.28515625" customWidth="1"/>
    <col min="10499" max="10499" width="18.7109375" customWidth="1"/>
    <col min="10500" max="10500" width="22.42578125" customWidth="1"/>
    <col min="10501" max="10501" width="17.7109375" customWidth="1"/>
    <col min="10502" max="10502" width="14" customWidth="1"/>
    <col min="10503" max="10503" width="15.7109375" customWidth="1"/>
    <col min="10504" max="10504" width="15.42578125" customWidth="1"/>
    <col min="10505" max="10505" width="15.28515625" customWidth="1"/>
    <col min="10506" max="10506" width="21.140625" customWidth="1"/>
    <col min="10507" max="10507" width="20" customWidth="1"/>
    <col min="10508" max="10508" width="1.28515625" customWidth="1"/>
    <col min="10509" max="10509" width="14" bestFit="1" customWidth="1"/>
    <col min="10753" max="10753" width="59" customWidth="1"/>
    <col min="10754" max="10754" width="14.28515625" customWidth="1"/>
    <col min="10755" max="10755" width="18.7109375" customWidth="1"/>
    <col min="10756" max="10756" width="22.42578125" customWidth="1"/>
    <col min="10757" max="10757" width="17.7109375" customWidth="1"/>
    <col min="10758" max="10758" width="14" customWidth="1"/>
    <col min="10759" max="10759" width="15.7109375" customWidth="1"/>
    <col min="10760" max="10760" width="15.42578125" customWidth="1"/>
    <col min="10761" max="10761" width="15.28515625" customWidth="1"/>
    <col min="10762" max="10762" width="21.140625" customWidth="1"/>
    <col min="10763" max="10763" width="20" customWidth="1"/>
    <col min="10764" max="10764" width="1.28515625" customWidth="1"/>
    <col min="10765" max="10765" width="14" bestFit="1" customWidth="1"/>
    <col min="11009" max="11009" width="59" customWidth="1"/>
    <col min="11010" max="11010" width="14.28515625" customWidth="1"/>
    <col min="11011" max="11011" width="18.7109375" customWidth="1"/>
    <col min="11012" max="11012" width="22.42578125" customWidth="1"/>
    <col min="11013" max="11013" width="17.7109375" customWidth="1"/>
    <col min="11014" max="11014" width="14" customWidth="1"/>
    <col min="11015" max="11015" width="15.7109375" customWidth="1"/>
    <col min="11016" max="11016" width="15.42578125" customWidth="1"/>
    <col min="11017" max="11017" width="15.28515625" customWidth="1"/>
    <col min="11018" max="11018" width="21.140625" customWidth="1"/>
    <col min="11019" max="11019" width="20" customWidth="1"/>
    <col min="11020" max="11020" width="1.28515625" customWidth="1"/>
    <col min="11021" max="11021" width="14" bestFit="1" customWidth="1"/>
    <col min="11265" max="11265" width="59" customWidth="1"/>
    <col min="11266" max="11266" width="14.28515625" customWidth="1"/>
    <col min="11267" max="11267" width="18.7109375" customWidth="1"/>
    <col min="11268" max="11268" width="22.42578125" customWidth="1"/>
    <col min="11269" max="11269" width="17.7109375" customWidth="1"/>
    <col min="11270" max="11270" width="14" customWidth="1"/>
    <col min="11271" max="11271" width="15.7109375" customWidth="1"/>
    <col min="11272" max="11272" width="15.42578125" customWidth="1"/>
    <col min="11273" max="11273" width="15.28515625" customWidth="1"/>
    <col min="11274" max="11274" width="21.140625" customWidth="1"/>
    <col min="11275" max="11275" width="20" customWidth="1"/>
    <col min="11276" max="11276" width="1.28515625" customWidth="1"/>
    <col min="11277" max="11277" width="14" bestFit="1" customWidth="1"/>
    <col min="11521" max="11521" width="59" customWidth="1"/>
    <col min="11522" max="11522" width="14.28515625" customWidth="1"/>
    <col min="11523" max="11523" width="18.7109375" customWidth="1"/>
    <col min="11524" max="11524" width="22.42578125" customWidth="1"/>
    <col min="11525" max="11525" width="17.7109375" customWidth="1"/>
    <col min="11526" max="11526" width="14" customWidth="1"/>
    <col min="11527" max="11527" width="15.7109375" customWidth="1"/>
    <col min="11528" max="11528" width="15.42578125" customWidth="1"/>
    <col min="11529" max="11529" width="15.28515625" customWidth="1"/>
    <col min="11530" max="11530" width="21.140625" customWidth="1"/>
    <col min="11531" max="11531" width="20" customWidth="1"/>
    <col min="11532" max="11532" width="1.28515625" customWidth="1"/>
    <col min="11533" max="11533" width="14" bestFit="1" customWidth="1"/>
    <col min="11777" max="11777" width="59" customWidth="1"/>
    <col min="11778" max="11778" width="14.28515625" customWidth="1"/>
    <col min="11779" max="11779" width="18.7109375" customWidth="1"/>
    <col min="11780" max="11780" width="22.42578125" customWidth="1"/>
    <col min="11781" max="11781" width="17.7109375" customWidth="1"/>
    <col min="11782" max="11782" width="14" customWidth="1"/>
    <col min="11783" max="11783" width="15.7109375" customWidth="1"/>
    <col min="11784" max="11784" width="15.42578125" customWidth="1"/>
    <col min="11785" max="11785" width="15.28515625" customWidth="1"/>
    <col min="11786" max="11786" width="21.140625" customWidth="1"/>
    <col min="11787" max="11787" width="20" customWidth="1"/>
    <col min="11788" max="11788" width="1.28515625" customWidth="1"/>
    <col min="11789" max="11789" width="14" bestFit="1" customWidth="1"/>
    <col min="12033" max="12033" width="59" customWidth="1"/>
    <col min="12034" max="12034" width="14.28515625" customWidth="1"/>
    <col min="12035" max="12035" width="18.7109375" customWidth="1"/>
    <col min="12036" max="12036" width="22.42578125" customWidth="1"/>
    <col min="12037" max="12037" width="17.7109375" customWidth="1"/>
    <col min="12038" max="12038" width="14" customWidth="1"/>
    <col min="12039" max="12039" width="15.7109375" customWidth="1"/>
    <col min="12040" max="12040" width="15.42578125" customWidth="1"/>
    <col min="12041" max="12041" width="15.28515625" customWidth="1"/>
    <col min="12042" max="12042" width="21.140625" customWidth="1"/>
    <col min="12043" max="12043" width="20" customWidth="1"/>
    <col min="12044" max="12044" width="1.28515625" customWidth="1"/>
    <col min="12045" max="12045" width="14" bestFit="1" customWidth="1"/>
    <col min="12289" max="12289" width="59" customWidth="1"/>
    <col min="12290" max="12290" width="14.28515625" customWidth="1"/>
    <col min="12291" max="12291" width="18.7109375" customWidth="1"/>
    <col min="12292" max="12292" width="22.42578125" customWidth="1"/>
    <col min="12293" max="12293" width="17.7109375" customWidth="1"/>
    <col min="12294" max="12294" width="14" customWidth="1"/>
    <col min="12295" max="12295" width="15.7109375" customWidth="1"/>
    <col min="12296" max="12296" width="15.42578125" customWidth="1"/>
    <col min="12297" max="12297" width="15.28515625" customWidth="1"/>
    <col min="12298" max="12298" width="21.140625" customWidth="1"/>
    <col min="12299" max="12299" width="20" customWidth="1"/>
    <col min="12300" max="12300" width="1.28515625" customWidth="1"/>
    <col min="12301" max="12301" width="14" bestFit="1" customWidth="1"/>
    <col min="12545" max="12545" width="59" customWidth="1"/>
    <col min="12546" max="12546" width="14.28515625" customWidth="1"/>
    <col min="12547" max="12547" width="18.7109375" customWidth="1"/>
    <col min="12548" max="12548" width="22.42578125" customWidth="1"/>
    <col min="12549" max="12549" width="17.7109375" customWidth="1"/>
    <col min="12550" max="12550" width="14" customWidth="1"/>
    <col min="12551" max="12551" width="15.7109375" customWidth="1"/>
    <col min="12552" max="12552" width="15.42578125" customWidth="1"/>
    <col min="12553" max="12553" width="15.28515625" customWidth="1"/>
    <col min="12554" max="12554" width="21.140625" customWidth="1"/>
    <col min="12555" max="12555" width="20" customWidth="1"/>
    <col min="12556" max="12556" width="1.28515625" customWidth="1"/>
    <col min="12557" max="12557" width="14" bestFit="1" customWidth="1"/>
    <col min="12801" max="12801" width="59" customWidth="1"/>
    <col min="12802" max="12802" width="14.28515625" customWidth="1"/>
    <col min="12803" max="12803" width="18.7109375" customWidth="1"/>
    <col min="12804" max="12804" width="22.42578125" customWidth="1"/>
    <col min="12805" max="12805" width="17.7109375" customWidth="1"/>
    <col min="12806" max="12806" width="14" customWidth="1"/>
    <col min="12807" max="12807" width="15.7109375" customWidth="1"/>
    <col min="12808" max="12808" width="15.42578125" customWidth="1"/>
    <col min="12809" max="12809" width="15.28515625" customWidth="1"/>
    <col min="12810" max="12810" width="21.140625" customWidth="1"/>
    <col min="12811" max="12811" width="20" customWidth="1"/>
    <col min="12812" max="12812" width="1.28515625" customWidth="1"/>
    <col min="12813" max="12813" width="14" bestFit="1" customWidth="1"/>
    <col min="13057" max="13057" width="59" customWidth="1"/>
    <col min="13058" max="13058" width="14.28515625" customWidth="1"/>
    <col min="13059" max="13059" width="18.7109375" customWidth="1"/>
    <col min="13060" max="13060" width="22.42578125" customWidth="1"/>
    <col min="13061" max="13061" width="17.7109375" customWidth="1"/>
    <col min="13062" max="13062" width="14" customWidth="1"/>
    <col min="13063" max="13063" width="15.7109375" customWidth="1"/>
    <col min="13064" max="13064" width="15.42578125" customWidth="1"/>
    <col min="13065" max="13065" width="15.28515625" customWidth="1"/>
    <col min="13066" max="13066" width="21.140625" customWidth="1"/>
    <col min="13067" max="13067" width="20" customWidth="1"/>
    <col min="13068" max="13068" width="1.28515625" customWidth="1"/>
    <col min="13069" max="13069" width="14" bestFit="1" customWidth="1"/>
    <col min="13313" max="13313" width="59" customWidth="1"/>
    <col min="13314" max="13314" width="14.28515625" customWidth="1"/>
    <col min="13315" max="13315" width="18.7109375" customWidth="1"/>
    <col min="13316" max="13316" width="22.42578125" customWidth="1"/>
    <col min="13317" max="13317" width="17.7109375" customWidth="1"/>
    <col min="13318" max="13318" width="14" customWidth="1"/>
    <col min="13319" max="13319" width="15.7109375" customWidth="1"/>
    <col min="13320" max="13320" width="15.42578125" customWidth="1"/>
    <col min="13321" max="13321" width="15.28515625" customWidth="1"/>
    <col min="13322" max="13322" width="21.140625" customWidth="1"/>
    <col min="13323" max="13323" width="20" customWidth="1"/>
    <col min="13324" max="13324" width="1.28515625" customWidth="1"/>
    <col min="13325" max="13325" width="14" bestFit="1" customWidth="1"/>
    <col min="13569" max="13569" width="59" customWidth="1"/>
    <col min="13570" max="13570" width="14.28515625" customWidth="1"/>
    <col min="13571" max="13571" width="18.7109375" customWidth="1"/>
    <col min="13572" max="13572" width="22.42578125" customWidth="1"/>
    <col min="13573" max="13573" width="17.7109375" customWidth="1"/>
    <col min="13574" max="13574" width="14" customWidth="1"/>
    <col min="13575" max="13575" width="15.7109375" customWidth="1"/>
    <col min="13576" max="13576" width="15.42578125" customWidth="1"/>
    <col min="13577" max="13577" width="15.28515625" customWidth="1"/>
    <col min="13578" max="13578" width="21.140625" customWidth="1"/>
    <col min="13579" max="13579" width="20" customWidth="1"/>
    <col min="13580" max="13580" width="1.28515625" customWidth="1"/>
    <col min="13581" max="13581" width="14" bestFit="1" customWidth="1"/>
    <col min="13825" max="13825" width="59" customWidth="1"/>
    <col min="13826" max="13826" width="14.28515625" customWidth="1"/>
    <col min="13827" max="13827" width="18.7109375" customWidth="1"/>
    <col min="13828" max="13828" width="22.42578125" customWidth="1"/>
    <col min="13829" max="13829" width="17.7109375" customWidth="1"/>
    <col min="13830" max="13830" width="14" customWidth="1"/>
    <col min="13831" max="13831" width="15.7109375" customWidth="1"/>
    <col min="13832" max="13832" width="15.42578125" customWidth="1"/>
    <col min="13833" max="13833" width="15.28515625" customWidth="1"/>
    <col min="13834" max="13834" width="21.140625" customWidth="1"/>
    <col min="13835" max="13835" width="20" customWidth="1"/>
    <col min="13836" max="13836" width="1.28515625" customWidth="1"/>
    <col min="13837" max="13837" width="14" bestFit="1" customWidth="1"/>
    <col min="14081" max="14081" width="59" customWidth="1"/>
    <col min="14082" max="14082" width="14.28515625" customWidth="1"/>
    <col min="14083" max="14083" width="18.7109375" customWidth="1"/>
    <col min="14084" max="14084" width="22.42578125" customWidth="1"/>
    <col min="14085" max="14085" width="17.7109375" customWidth="1"/>
    <col min="14086" max="14086" width="14" customWidth="1"/>
    <col min="14087" max="14087" width="15.7109375" customWidth="1"/>
    <col min="14088" max="14088" width="15.42578125" customWidth="1"/>
    <col min="14089" max="14089" width="15.28515625" customWidth="1"/>
    <col min="14090" max="14090" width="21.140625" customWidth="1"/>
    <col min="14091" max="14091" width="20" customWidth="1"/>
    <col min="14092" max="14092" width="1.28515625" customWidth="1"/>
    <col min="14093" max="14093" width="14" bestFit="1" customWidth="1"/>
    <col min="14337" max="14337" width="59" customWidth="1"/>
    <col min="14338" max="14338" width="14.28515625" customWidth="1"/>
    <col min="14339" max="14339" width="18.7109375" customWidth="1"/>
    <col min="14340" max="14340" width="22.42578125" customWidth="1"/>
    <col min="14341" max="14341" width="17.7109375" customWidth="1"/>
    <col min="14342" max="14342" width="14" customWidth="1"/>
    <col min="14343" max="14343" width="15.7109375" customWidth="1"/>
    <col min="14344" max="14344" width="15.42578125" customWidth="1"/>
    <col min="14345" max="14345" width="15.28515625" customWidth="1"/>
    <col min="14346" max="14346" width="21.140625" customWidth="1"/>
    <col min="14347" max="14347" width="20" customWidth="1"/>
    <col min="14348" max="14348" width="1.28515625" customWidth="1"/>
    <col min="14349" max="14349" width="14" bestFit="1" customWidth="1"/>
    <col min="14593" max="14593" width="59" customWidth="1"/>
    <col min="14594" max="14594" width="14.28515625" customWidth="1"/>
    <col min="14595" max="14595" width="18.7109375" customWidth="1"/>
    <col min="14596" max="14596" width="22.42578125" customWidth="1"/>
    <col min="14597" max="14597" width="17.7109375" customWidth="1"/>
    <col min="14598" max="14598" width="14" customWidth="1"/>
    <col min="14599" max="14599" width="15.7109375" customWidth="1"/>
    <col min="14600" max="14600" width="15.42578125" customWidth="1"/>
    <col min="14601" max="14601" width="15.28515625" customWidth="1"/>
    <col min="14602" max="14602" width="21.140625" customWidth="1"/>
    <col min="14603" max="14603" width="20" customWidth="1"/>
    <col min="14604" max="14604" width="1.28515625" customWidth="1"/>
    <col min="14605" max="14605" width="14" bestFit="1" customWidth="1"/>
    <col min="14849" max="14849" width="59" customWidth="1"/>
    <col min="14850" max="14850" width="14.28515625" customWidth="1"/>
    <col min="14851" max="14851" width="18.7109375" customWidth="1"/>
    <col min="14852" max="14852" width="22.42578125" customWidth="1"/>
    <col min="14853" max="14853" width="17.7109375" customWidth="1"/>
    <col min="14854" max="14854" width="14" customWidth="1"/>
    <col min="14855" max="14855" width="15.7109375" customWidth="1"/>
    <col min="14856" max="14856" width="15.42578125" customWidth="1"/>
    <col min="14857" max="14857" width="15.28515625" customWidth="1"/>
    <col min="14858" max="14858" width="21.140625" customWidth="1"/>
    <col min="14859" max="14859" width="20" customWidth="1"/>
    <col min="14860" max="14860" width="1.28515625" customWidth="1"/>
    <col min="14861" max="14861" width="14" bestFit="1" customWidth="1"/>
    <col min="15105" max="15105" width="59" customWidth="1"/>
    <col min="15106" max="15106" width="14.28515625" customWidth="1"/>
    <col min="15107" max="15107" width="18.7109375" customWidth="1"/>
    <col min="15108" max="15108" width="22.42578125" customWidth="1"/>
    <col min="15109" max="15109" width="17.7109375" customWidth="1"/>
    <col min="15110" max="15110" width="14" customWidth="1"/>
    <col min="15111" max="15111" width="15.7109375" customWidth="1"/>
    <col min="15112" max="15112" width="15.42578125" customWidth="1"/>
    <col min="15113" max="15113" width="15.28515625" customWidth="1"/>
    <col min="15114" max="15114" width="21.140625" customWidth="1"/>
    <col min="15115" max="15115" width="20" customWidth="1"/>
    <col min="15116" max="15116" width="1.28515625" customWidth="1"/>
    <col min="15117" max="15117" width="14" bestFit="1" customWidth="1"/>
    <col min="15361" max="15361" width="59" customWidth="1"/>
    <col min="15362" max="15362" width="14.28515625" customWidth="1"/>
    <col min="15363" max="15363" width="18.7109375" customWidth="1"/>
    <col min="15364" max="15364" width="22.42578125" customWidth="1"/>
    <col min="15365" max="15365" width="17.7109375" customWidth="1"/>
    <col min="15366" max="15366" width="14" customWidth="1"/>
    <col min="15367" max="15367" width="15.7109375" customWidth="1"/>
    <col min="15368" max="15368" width="15.42578125" customWidth="1"/>
    <col min="15369" max="15369" width="15.28515625" customWidth="1"/>
    <col min="15370" max="15370" width="21.140625" customWidth="1"/>
    <col min="15371" max="15371" width="20" customWidth="1"/>
    <col min="15372" max="15372" width="1.28515625" customWidth="1"/>
    <col min="15373" max="15373" width="14" bestFit="1" customWidth="1"/>
    <col min="15617" max="15617" width="59" customWidth="1"/>
    <col min="15618" max="15618" width="14.28515625" customWidth="1"/>
    <col min="15619" max="15619" width="18.7109375" customWidth="1"/>
    <col min="15620" max="15620" width="22.42578125" customWidth="1"/>
    <col min="15621" max="15621" width="17.7109375" customWidth="1"/>
    <col min="15622" max="15622" width="14" customWidth="1"/>
    <col min="15623" max="15623" width="15.7109375" customWidth="1"/>
    <col min="15624" max="15624" width="15.42578125" customWidth="1"/>
    <col min="15625" max="15625" width="15.28515625" customWidth="1"/>
    <col min="15626" max="15626" width="21.140625" customWidth="1"/>
    <col min="15627" max="15627" width="20" customWidth="1"/>
    <col min="15628" max="15628" width="1.28515625" customWidth="1"/>
    <col min="15629" max="15629" width="14" bestFit="1" customWidth="1"/>
    <col min="15873" max="15873" width="59" customWidth="1"/>
    <col min="15874" max="15874" width="14.28515625" customWidth="1"/>
    <col min="15875" max="15875" width="18.7109375" customWidth="1"/>
    <col min="15876" max="15876" width="22.42578125" customWidth="1"/>
    <col min="15877" max="15877" width="17.7109375" customWidth="1"/>
    <col min="15878" max="15878" width="14" customWidth="1"/>
    <col min="15879" max="15879" width="15.7109375" customWidth="1"/>
    <col min="15880" max="15880" width="15.42578125" customWidth="1"/>
    <col min="15881" max="15881" width="15.28515625" customWidth="1"/>
    <col min="15882" max="15882" width="21.140625" customWidth="1"/>
    <col min="15883" max="15883" width="20" customWidth="1"/>
    <col min="15884" max="15884" width="1.28515625" customWidth="1"/>
    <col min="15885" max="15885" width="14" bestFit="1" customWidth="1"/>
    <col min="16129" max="16129" width="59" customWidth="1"/>
    <col min="16130" max="16130" width="14.28515625" customWidth="1"/>
    <col min="16131" max="16131" width="18.7109375" customWidth="1"/>
    <col min="16132" max="16132" width="22.42578125" customWidth="1"/>
    <col min="16133" max="16133" width="17.7109375" customWidth="1"/>
    <col min="16134" max="16134" width="14" customWidth="1"/>
    <col min="16135" max="16135" width="15.7109375" customWidth="1"/>
    <col min="16136" max="16136" width="15.42578125" customWidth="1"/>
    <col min="16137" max="16137" width="15.28515625" customWidth="1"/>
    <col min="16138" max="16138" width="21.140625" customWidth="1"/>
    <col min="16139" max="16139" width="20" customWidth="1"/>
    <col min="16140" max="16140" width="1.28515625" customWidth="1"/>
    <col min="16141" max="16141" width="14" bestFit="1" customWidth="1"/>
  </cols>
  <sheetData>
    <row r="1" spans="1:11" s="177" customFormat="1">
      <c r="K1" s="1053"/>
    </row>
    <row r="2" spans="1:11" s="177" customFormat="1" ht="21" customHeight="1">
      <c r="A2" s="175" t="s">
        <v>235</v>
      </c>
      <c r="B2" s="176"/>
    </row>
    <row r="3" spans="1:11" s="177" customFormat="1" ht="19.5" customHeight="1">
      <c r="A3" s="178" t="s">
        <v>2068</v>
      </c>
      <c r="B3" s="176"/>
      <c r="C3" s="179"/>
      <c r="D3" s="179"/>
      <c r="E3" s="179"/>
      <c r="F3" s="179"/>
      <c r="G3" s="179"/>
      <c r="H3" s="179"/>
      <c r="I3" s="179"/>
      <c r="J3" s="179"/>
      <c r="K3" s="180" t="s">
        <v>234</v>
      </c>
    </row>
    <row r="4" spans="1:11" s="177" customFormat="1" ht="22.5" customHeight="1">
      <c r="A4" s="181" t="s">
        <v>238</v>
      </c>
      <c r="B4" s="176"/>
      <c r="C4" s="179"/>
      <c r="D4" s="179"/>
      <c r="E4" s="179"/>
      <c r="F4" s="179"/>
      <c r="G4" s="179"/>
      <c r="H4" s="179"/>
      <c r="I4" s="179"/>
      <c r="J4" s="179"/>
      <c r="K4" s="179"/>
    </row>
    <row r="5" spans="1:11" s="177" customFormat="1" ht="25.5" customHeight="1">
      <c r="A5" s="175" t="s">
        <v>232</v>
      </c>
      <c r="B5" s="176"/>
      <c r="C5" s="179"/>
      <c r="D5" s="179"/>
      <c r="E5" s="179"/>
      <c r="F5" s="179"/>
      <c r="G5" s="179"/>
      <c r="H5" s="179"/>
      <c r="I5" s="179"/>
      <c r="J5" s="179"/>
      <c r="K5" s="179"/>
    </row>
    <row r="6" spans="1:11" s="177" customFormat="1">
      <c r="A6" s="184" t="s">
        <v>228</v>
      </c>
      <c r="B6" s="184" t="s">
        <v>227</v>
      </c>
      <c r="C6" s="184" t="s">
        <v>226</v>
      </c>
      <c r="D6" s="184"/>
      <c r="E6" s="183" t="s">
        <v>225</v>
      </c>
      <c r="F6" s="183"/>
      <c r="G6" s="184" t="s">
        <v>224</v>
      </c>
      <c r="H6" s="1381" t="s">
        <v>223</v>
      </c>
      <c r="I6" s="1381"/>
      <c r="J6" s="184" t="s">
        <v>222</v>
      </c>
      <c r="K6" s="1054" t="s">
        <v>221</v>
      </c>
    </row>
    <row r="7" spans="1:11" s="186" customFormat="1">
      <c r="A7" s="1467" t="s">
        <v>220</v>
      </c>
      <c r="B7" s="1465" t="s">
        <v>218</v>
      </c>
      <c r="C7" s="1465" t="s">
        <v>219</v>
      </c>
      <c r="D7" s="1465" t="s">
        <v>217</v>
      </c>
      <c r="E7" s="1468" t="s">
        <v>216</v>
      </c>
      <c r="F7" s="1469"/>
      <c r="G7" s="1465" t="s">
        <v>215</v>
      </c>
      <c r="H7" s="1468" t="s">
        <v>214</v>
      </c>
      <c r="I7" s="1469"/>
      <c r="J7" s="1465" t="s">
        <v>240</v>
      </c>
      <c r="K7" s="1478" t="s">
        <v>212</v>
      </c>
    </row>
    <row r="8" spans="1:11" s="186" customFormat="1" ht="15.75" thickBot="1">
      <c r="A8" s="1467"/>
      <c r="B8" s="1465"/>
      <c r="C8" s="1465"/>
      <c r="D8" s="1465"/>
      <c r="E8" s="957" t="s">
        <v>211</v>
      </c>
      <c r="F8" s="957" t="s">
        <v>210</v>
      </c>
      <c r="G8" s="1465"/>
      <c r="H8" s="957" t="s">
        <v>211</v>
      </c>
      <c r="I8" s="957" t="s">
        <v>210</v>
      </c>
      <c r="J8" s="1465"/>
      <c r="K8" s="1478"/>
    </row>
    <row r="9" spans="1:11" ht="15.95" customHeight="1" thickBot="1">
      <c r="A9" s="1055" t="s">
        <v>1558</v>
      </c>
      <c r="B9" s="1056"/>
      <c r="C9" s="1056"/>
      <c r="D9" s="1056"/>
      <c r="E9" s="1056"/>
      <c r="F9" s="1056"/>
      <c r="G9" s="1056"/>
      <c r="H9" s="1056"/>
      <c r="I9" s="1056"/>
      <c r="J9" s="1056"/>
      <c r="K9" s="1057"/>
    </row>
    <row r="10" spans="1:11" ht="15.95" customHeight="1" thickBot="1">
      <c r="A10" s="660"/>
      <c r="B10" s="672"/>
      <c r="C10" s="672"/>
      <c r="D10" s="672"/>
      <c r="E10" s="672"/>
      <c r="F10" s="672"/>
      <c r="G10" s="672"/>
      <c r="H10" s="672"/>
      <c r="I10" s="672"/>
      <c r="J10" s="1058"/>
      <c r="K10" s="651"/>
    </row>
    <row r="11" spans="1:11" ht="15.95" customHeight="1" thickBot="1">
      <c r="A11" s="1055" t="s">
        <v>1559</v>
      </c>
      <c r="B11" s="1056"/>
      <c r="C11" s="1056"/>
      <c r="D11" s="1056"/>
      <c r="E11" s="1056"/>
      <c r="F11" s="1056"/>
      <c r="G11" s="1056"/>
      <c r="H11" s="1056"/>
      <c r="I11" s="1056"/>
      <c r="J11" s="1056"/>
      <c r="K11" s="1057"/>
    </row>
    <row r="12" spans="1:11" ht="15.95" customHeight="1" thickBot="1">
      <c r="A12" s="960" t="s">
        <v>2069</v>
      </c>
      <c r="B12" s="960" t="s">
        <v>109</v>
      </c>
      <c r="C12" s="960" t="s">
        <v>2070</v>
      </c>
      <c r="D12" s="1059" t="s">
        <v>2071</v>
      </c>
      <c r="E12" s="1060" t="s">
        <v>2072</v>
      </c>
      <c r="F12" s="1060" t="s">
        <v>2073</v>
      </c>
      <c r="G12" s="263"/>
      <c r="H12" s="263"/>
      <c r="I12" s="263"/>
      <c r="J12" s="1061" t="s">
        <v>2074</v>
      </c>
      <c r="K12" s="1062">
        <f>34568065.82+1111436.93+4313026.02</f>
        <v>39992528.769999996</v>
      </c>
    </row>
    <row r="13" spans="1:11" ht="15.95" customHeight="1" thickBot="1">
      <c r="A13" s="1063" t="s">
        <v>2075</v>
      </c>
      <c r="B13" s="1063" t="s">
        <v>205</v>
      </c>
      <c r="C13" s="1063" t="s">
        <v>2076</v>
      </c>
      <c r="D13" s="1064" t="s">
        <v>2077</v>
      </c>
      <c r="E13" s="1065"/>
      <c r="F13" s="1065"/>
      <c r="G13" s="1066"/>
      <c r="H13" s="1067"/>
      <c r="I13" s="1067"/>
      <c r="J13" s="1061" t="s">
        <v>2074</v>
      </c>
      <c r="K13" s="1479">
        <f>5678679.62+1962922.05+161910</f>
        <v>7803511.6699999999</v>
      </c>
    </row>
    <row r="14" spans="1:11" ht="15.95" customHeight="1" thickBot="1">
      <c r="A14" s="1063" t="s">
        <v>2078</v>
      </c>
      <c r="B14" s="1063" t="s">
        <v>205</v>
      </c>
      <c r="C14" s="1063" t="s">
        <v>2076</v>
      </c>
      <c r="D14" s="1064" t="s">
        <v>2079</v>
      </c>
      <c r="E14" s="1065"/>
      <c r="F14" s="1065"/>
      <c r="G14" s="1066"/>
      <c r="H14" s="1067"/>
      <c r="I14" s="1067"/>
      <c r="J14" s="1061" t="s">
        <v>2074</v>
      </c>
      <c r="K14" s="1479"/>
    </row>
    <row r="15" spans="1:11" ht="15.95" customHeight="1" thickBot="1">
      <c r="A15" s="960" t="s">
        <v>2080</v>
      </c>
      <c r="B15" s="960" t="s">
        <v>205</v>
      </c>
      <c r="C15" s="960" t="s">
        <v>2076</v>
      </c>
      <c r="D15" s="1060" t="s">
        <v>2081</v>
      </c>
      <c r="E15" s="1065"/>
      <c r="F15" s="1065"/>
      <c r="G15" s="263"/>
      <c r="H15" s="205"/>
      <c r="I15" s="205"/>
      <c r="J15" s="1061" t="s">
        <v>2074</v>
      </c>
      <c r="K15" s="1479"/>
    </row>
    <row r="16" spans="1:11" ht="15.95" customHeight="1" thickBot="1">
      <c r="A16" s="960" t="s">
        <v>2082</v>
      </c>
      <c r="B16" s="960" t="s">
        <v>205</v>
      </c>
      <c r="C16" s="960" t="s">
        <v>2076</v>
      </c>
      <c r="D16" s="1060" t="s">
        <v>2083</v>
      </c>
      <c r="E16" s="1065"/>
      <c r="F16" s="1065"/>
      <c r="G16" s="263"/>
      <c r="H16" s="205"/>
      <c r="I16" s="205"/>
      <c r="J16" s="1061" t="s">
        <v>2074</v>
      </c>
      <c r="K16" s="1479"/>
    </row>
    <row r="17" spans="1:13" ht="15.95" customHeight="1" thickBot="1">
      <c r="A17" s="960" t="s">
        <v>2084</v>
      </c>
      <c r="B17" s="960" t="s">
        <v>205</v>
      </c>
      <c r="C17" s="960" t="s">
        <v>2076</v>
      </c>
      <c r="D17" s="1060" t="s">
        <v>2085</v>
      </c>
      <c r="E17" s="1065"/>
      <c r="F17" s="1065"/>
      <c r="G17" s="263"/>
      <c r="H17" s="205"/>
      <c r="I17" s="205"/>
      <c r="J17" s="1061" t="s">
        <v>2074</v>
      </c>
      <c r="K17" s="1479"/>
    </row>
    <row r="18" spans="1:13" ht="15.95" customHeight="1" thickBot="1">
      <c r="A18" s="960" t="s">
        <v>2086</v>
      </c>
      <c r="B18" s="960" t="s">
        <v>205</v>
      </c>
      <c r="C18" s="960" t="s">
        <v>2076</v>
      </c>
      <c r="D18" s="1060" t="s">
        <v>2087</v>
      </c>
      <c r="E18" s="1065"/>
      <c r="F18" s="1065"/>
      <c r="G18" s="263"/>
      <c r="H18" s="205"/>
      <c r="I18" s="205"/>
      <c r="J18" s="1061" t="s">
        <v>2074</v>
      </c>
      <c r="K18" s="1479"/>
    </row>
    <row r="19" spans="1:13" ht="15.95" customHeight="1" thickBot="1">
      <c r="A19" s="960" t="s">
        <v>2088</v>
      </c>
      <c r="B19" s="960" t="s">
        <v>283</v>
      </c>
      <c r="C19" s="960" t="s">
        <v>2089</v>
      </c>
      <c r="D19" s="1068"/>
      <c r="E19" s="1065"/>
      <c r="F19" s="1065"/>
      <c r="G19" s="263"/>
      <c r="H19" s="205"/>
      <c r="I19" s="205"/>
      <c r="J19" s="1061" t="s">
        <v>2074</v>
      </c>
      <c r="K19" s="1480">
        <f>6937537.67+1486383.23+50780+295916.88+389415.28+1245825.9+11333.52+21600</f>
        <v>10438792.48</v>
      </c>
      <c r="M19" s="191"/>
    </row>
    <row r="20" spans="1:13" ht="15.95" customHeight="1" thickBot="1">
      <c r="A20" s="960" t="s">
        <v>2090</v>
      </c>
      <c r="B20" s="960" t="s">
        <v>1453</v>
      </c>
      <c r="C20" s="960" t="s">
        <v>2091</v>
      </c>
      <c r="D20" s="1068"/>
      <c r="E20" s="1065"/>
      <c r="F20" s="208" t="s">
        <v>185</v>
      </c>
      <c r="G20" s="208">
        <v>13500</v>
      </c>
      <c r="H20" s="263"/>
      <c r="I20" s="263"/>
      <c r="J20" s="1061" t="s">
        <v>2074</v>
      </c>
      <c r="K20" s="1480"/>
    </row>
    <row r="21" spans="1:13" s="732" customFormat="1" ht="15.95" customHeight="1" thickBot="1">
      <c r="A21" s="960" t="s">
        <v>2092</v>
      </c>
      <c r="B21" s="960" t="s">
        <v>252</v>
      </c>
      <c r="C21" s="960" t="s">
        <v>2089</v>
      </c>
      <c r="D21" s="1068"/>
      <c r="E21" s="1068"/>
      <c r="F21" s="232"/>
      <c r="G21" s="1069">
        <v>470</v>
      </c>
      <c r="H21" s="232"/>
      <c r="I21" s="232"/>
      <c r="J21" s="1061" t="s">
        <v>2074</v>
      </c>
      <c r="K21" s="1480"/>
    </row>
    <row r="22" spans="1:13" s="732" customFormat="1" ht="15.95" customHeight="1" thickBot="1">
      <c r="A22" s="960" t="s">
        <v>2093</v>
      </c>
      <c r="B22" s="960" t="s">
        <v>252</v>
      </c>
      <c r="C22" s="960" t="s">
        <v>2094</v>
      </c>
      <c r="D22" s="1068"/>
      <c r="E22" s="1070" t="s">
        <v>2095</v>
      </c>
      <c r="F22" s="1070" t="s">
        <v>2096</v>
      </c>
      <c r="G22" s="232"/>
      <c r="H22" s="1071"/>
      <c r="I22" s="1071"/>
      <c r="J22" s="1061" t="s">
        <v>2074</v>
      </c>
      <c r="K22" s="1480"/>
    </row>
    <row r="23" spans="1:13" s="732" customFormat="1" ht="15.95" customHeight="1" thickBot="1">
      <c r="A23" s="960" t="s">
        <v>2097</v>
      </c>
      <c r="B23" s="960" t="s">
        <v>1453</v>
      </c>
      <c r="C23" s="960" t="s">
        <v>2098</v>
      </c>
      <c r="D23" s="1068"/>
      <c r="E23" s="1068"/>
      <c r="F23" s="232"/>
      <c r="G23" s="1069"/>
      <c r="H23" s="232"/>
      <c r="I23" s="232"/>
      <c r="J23" s="1061" t="s">
        <v>2074</v>
      </c>
      <c r="K23" s="1480"/>
    </row>
    <row r="24" spans="1:13" s="732" customFormat="1" ht="15.95" customHeight="1">
      <c r="A24" s="960" t="s">
        <v>2099</v>
      </c>
      <c r="B24" s="960" t="s">
        <v>1453</v>
      </c>
      <c r="C24" s="960" t="s">
        <v>2098</v>
      </c>
      <c r="D24" s="1068"/>
      <c r="E24" s="1068"/>
      <c r="F24" s="232"/>
      <c r="G24" s="1069"/>
      <c r="H24" s="232"/>
      <c r="I24" s="232"/>
      <c r="J24" s="1061" t="s">
        <v>2074</v>
      </c>
      <c r="K24" s="1480"/>
    </row>
    <row r="25" spans="1:13" ht="15.95" customHeight="1">
      <c r="A25" s="960"/>
      <c r="B25" s="563"/>
      <c r="C25" s="563"/>
      <c r="D25" s="1068"/>
      <c r="E25" s="294"/>
      <c r="F25" s="195"/>
      <c r="G25" s="195"/>
      <c r="H25" s="193"/>
      <c r="I25" s="193"/>
      <c r="J25" s="1072"/>
      <c r="K25" s="652"/>
    </row>
    <row r="26" spans="1:13" s="732" customFormat="1" ht="15.95" customHeight="1" thickBot="1">
      <c r="A26" s="563"/>
      <c r="B26" s="563"/>
      <c r="C26" s="563"/>
      <c r="D26" s="1068"/>
      <c r="E26" s="1070"/>
      <c r="F26" s="1070"/>
      <c r="G26" s="217"/>
      <c r="H26" s="1073"/>
      <c r="I26" s="1073"/>
      <c r="J26" s="1074"/>
      <c r="K26" s="195"/>
    </row>
    <row r="27" spans="1:13" ht="15.95" customHeight="1" thickBot="1">
      <c r="A27" s="1055" t="s">
        <v>1567</v>
      </c>
      <c r="B27" s="1056"/>
      <c r="C27" s="1056"/>
      <c r="D27" s="1056"/>
      <c r="E27" s="1056"/>
      <c r="F27" s="1056"/>
      <c r="G27" s="1056"/>
      <c r="H27" s="1056"/>
      <c r="I27" s="1056"/>
      <c r="J27" s="1056"/>
      <c r="K27" s="1057"/>
    </row>
    <row r="28" spans="1:13" s="732" customFormat="1" ht="15.95" customHeight="1">
      <c r="A28" s="960" t="s">
        <v>2100</v>
      </c>
      <c r="B28" s="960" t="s">
        <v>2101</v>
      </c>
      <c r="C28" s="960" t="s">
        <v>2102</v>
      </c>
      <c r="D28" s="232"/>
      <c r="E28" s="232"/>
      <c r="F28" s="232"/>
      <c r="G28" s="232"/>
      <c r="H28" s="232"/>
      <c r="I28" s="232"/>
      <c r="J28" s="1061" t="s">
        <v>2074</v>
      </c>
      <c r="K28" s="219">
        <f>59634.52+364467.12+4968878.58+272307.01</f>
        <v>5665287.2299999995</v>
      </c>
    </row>
    <row r="29" spans="1:13" s="177" customFormat="1" ht="15.95" customHeight="1" thickBot="1">
      <c r="A29" s="256"/>
      <c r="B29" s="217"/>
      <c r="C29" s="217"/>
      <c r="D29" s="217"/>
      <c r="E29" s="217"/>
      <c r="F29" s="217"/>
      <c r="G29" s="217"/>
      <c r="H29" s="217"/>
      <c r="I29" s="217"/>
      <c r="J29" s="1074"/>
      <c r="K29" s="219"/>
    </row>
    <row r="30" spans="1:13" ht="15.95" customHeight="1" thickBot="1">
      <c r="A30" s="1055" t="s">
        <v>1568</v>
      </c>
      <c r="B30" s="1056"/>
      <c r="C30" s="1056"/>
      <c r="D30" s="1056"/>
      <c r="E30" s="1056"/>
      <c r="F30" s="1056"/>
      <c r="G30" s="1056"/>
      <c r="H30" s="1056"/>
      <c r="I30" s="1056"/>
      <c r="J30" s="1056"/>
      <c r="K30" s="1057"/>
    </row>
    <row r="31" spans="1:13" ht="15.95" customHeight="1" thickBot="1">
      <c r="A31" s="960" t="s">
        <v>2103</v>
      </c>
      <c r="B31" s="960" t="s">
        <v>2104</v>
      </c>
      <c r="C31" s="960" t="s">
        <v>2105</v>
      </c>
      <c r="D31" s="1075"/>
      <c r="E31" s="1075"/>
      <c r="F31" s="1076"/>
      <c r="G31" s="263"/>
      <c r="H31" s="263"/>
      <c r="I31" s="263"/>
      <c r="J31" s="1074" t="s">
        <v>2106</v>
      </c>
      <c r="K31" s="195">
        <v>1416111.75</v>
      </c>
    </row>
    <row r="32" spans="1:13" ht="15.95" customHeight="1" thickBot="1">
      <c r="A32" s="960" t="s">
        <v>1848</v>
      </c>
      <c r="B32" s="960" t="s">
        <v>1453</v>
      </c>
      <c r="C32" s="960" t="s">
        <v>2091</v>
      </c>
      <c r="D32" s="1071"/>
      <c r="E32" s="1065"/>
      <c r="F32" s="1065"/>
      <c r="G32" s="263"/>
      <c r="H32" s="208">
        <v>400</v>
      </c>
      <c r="I32" s="208">
        <v>1700</v>
      </c>
      <c r="J32" s="1061" t="s">
        <v>2074</v>
      </c>
      <c r="K32" s="1479">
        <v>1229288.06</v>
      </c>
    </row>
    <row r="33" spans="1:11" ht="15.95" customHeight="1" thickBot="1">
      <c r="A33" s="960" t="s">
        <v>2107</v>
      </c>
      <c r="B33" s="960" t="s">
        <v>283</v>
      </c>
      <c r="C33" s="960" t="s">
        <v>2089</v>
      </c>
      <c r="D33" s="1071"/>
      <c r="E33" s="1065"/>
      <c r="F33" s="1065"/>
      <c r="G33" s="263"/>
      <c r="H33" s="208">
        <v>1700</v>
      </c>
      <c r="I33" s="208">
        <v>4000</v>
      </c>
      <c r="J33" s="1061" t="s">
        <v>2074</v>
      </c>
      <c r="K33" s="1479"/>
    </row>
    <row r="34" spans="1:11" ht="15.95" customHeight="1">
      <c r="A34" s="960" t="s">
        <v>2108</v>
      </c>
      <c r="B34" s="960" t="s">
        <v>2109</v>
      </c>
      <c r="C34" s="960" t="s">
        <v>2089</v>
      </c>
      <c r="D34" s="1068"/>
      <c r="E34" s="1065"/>
      <c r="F34" s="1065"/>
      <c r="G34" s="263"/>
      <c r="H34" s="208">
        <v>13500</v>
      </c>
      <c r="I34" s="208">
        <v>42000</v>
      </c>
      <c r="J34" s="1061" t="s">
        <v>2074</v>
      </c>
      <c r="K34" s="1479"/>
    </row>
    <row r="35" spans="1:11" ht="15.95" customHeight="1" thickBot="1">
      <c r="A35" s="1077" t="s">
        <v>2110</v>
      </c>
      <c r="B35" s="960" t="s">
        <v>2104</v>
      </c>
      <c r="C35" s="960" t="s">
        <v>2105</v>
      </c>
      <c r="D35" s="1075"/>
      <c r="E35" s="1075"/>
      <c r="F35" s="1076"/>
      <c r="G35" s="263"/>
      <c r="H35" s="263"/>
      <c r="I35" s="263"/>
      <c r="J35" s="1074" t="s">
        <v>2111</v>
      </c>
      <c r="K35" s="195">
        <v>0</v>
      </c>
    </row>
    <row r="36" spans="1:11" s="732" customFormat="1" ht="15.95" customHeight="1" thickBot="1">
      <c r="A36" s="960" t="s">
        <v>2112</v>
      </c>
      <c r="B36" s="960" t="s">
        <v>1453</v>
      </c>
      <c r="C36" s="960" t="s">
        <v>2089</v>
      </c>
      <c r="D36" s="1068"/>
      <c r="E36" s="1078"/>
      <c r="F36" s="1078"/>
      <c r="G36" s="232"/>
      <c r="H36" s="1079">
        <v>900</v>
      </c>
      <c r="I36" s="1079">
        <v>1350</v>
      </c>
      <c r="J36" s="1061" t="s">
        <v>2074</v>
      </c>
      <c r="K36" s="1481">
        <f>245498.64+267725.12+127829.01+8639115.7+12921.5+100000+1188239.24</f>
        <v>10581329.209999999</v>
      </c>
    </row>
    <row r="37" spans="1:11" s="732" customFormat="1" ht="15.95" customHeight="1">
      <c r="A37" s="960" t="s">
        <v>2113</v>
      </c>
      <c r="B37" s="960" t="s">
        <v>1453</v>
      </c>
      <c r="C37" s="960" t="s">
        <v>2089</v>
      </c>
      <c r="D37" s="1068"/>
      <c r="E37" s="1078"/>
      <c r="F37" s="1078"/>
      <c r="G37" s="232"/>
      <c r="H37" s="1071">
        <v>200</v>
      </c>
      <c r="I37" s="1071">
        <v>3000</v>
      </c>
      <c r="J37" s="1061" t="s">
        <v>2074</v>
      </c>
      <c r="K37" s="1482"/>
    </row>
    <row r="38" spans="1:11" s="732" customFormat="1" ht="15.95" customHeight="1" thickBot="1">
      <c r="A38" s="960" t="s">
        <v>2114</v>
      </c>
      <c r="B38" s="960" t="s">
        <v>109</v>
      </c>
      <c r="C38" s="960" t="s">
        <v>2091</v>
      </c>
      <c r="D38" s="1068"/>
      <c r="E38" s="1078"/>
      <c r="F38" s="1078"/>
      <c r="G38" s="1080">
        <v>150</v>
      </c>
      <c r="H38" s="1071"/>
      <c r="I38" s="1071"/>
      <c r="J38" s="1074" t="s">
        <v>2115</v>
      </c>
      <c r="K38" s="219">
        <v>31950</v>
      </c>
    </row>
    <row r="39" spans="1:11" ht="15.95" customHeight="1">
      <c r="A39" s="960" t="s">
        <v>2116</v>
      </c>
      <c r="B39" s="960" t="s">
        <v>1453</v>
      </c>
      <c r="C39" s="960" t="s">
        <v>1082</v>
      </c>
      <c r="D39" s="1081" t="s">
        <v>2117</v>
      </c>
      <c r="E39" s="1081" t="s">
        <v>2118</v>
      </c>
      <c r="F39" s="1076">
        <v>0.04</v>
      </c>
      <c r="G39" s="263"/>
      <c r="H39" s="263"/>
      <c r="I39" s="263"/>
      <c r="J39" s="1061" t="s">
        <v>2074</v>
      </c>
      <c r="K39" s="195">
        <v>172066.62</v>
      </c>
    </row>
    <row r="40" spans="1:11" ht="15.95" customHeight="1" thickBot="1">
      <c r="A40" s="960" t="s">
        <v>2119</v>
      </c>
      <c r="B40" s="960" t="s">
        <v>109</v>
      </c>
      <c r="C40" s="960" t="s">
        <v>2105</v>
      </c>
      <c r="D40" s="1075"/>
      <c r="E40" s="1075"/>
      <c r="F40" s="1076"/>
      <c r="G40" s="263"/>
      <c r="H40" s="263"/>
      <c r="I40" s="263"/>
      <c r="J40" s="1074" t="s">
        <v>2120</v>
      </c>
      <c r="K40" s="195">
        <v>17681.87</v>
      </c>
    </row>
    <row r="41" spans="1:11" s="732" customFormat="1" ht="15.95" customHeight="1">
      <c r="A41" s="960" t="s">
        <v>1005</v>
      </c>
      <c r="B41" s="960" t="s">
        <v>283</v>
      </c>
      <c r="C41" s="960" t="s">
        <v>2121</v>
      </c>
      <c r="D41" s="1068"/>
      <c r="E41" s="1078"/>
      <c r="F41" s="1078"/>
      <c r="G41" s="232"/>
      <c r="H41" s="1071">
        <v>1000</v>
      </c>
      <c r="I41" s="1071">
        <v>10000</v>
      </c>
      <c r="J41" s="1061" t="s">
        <v>2074</v>
      </c>
      <c r="K41" s="219">
        <v>15110</v>
      </c>
    </row>
    <row r="42" spans="1:11" ht="15.95" customHeight="1" thickBot="1">
      <c r="A42" s="563"/>
      <c r="B42" s="193"/>
      <c r="C42" s="193"/>
      <c r="D42" s="193"/>
      <c r="E42" s="193"/>
      <c r="F42" s="193"/>
      <c r="G42" s="193"/>
      <c r="H42" s="193"/>
      <c r="I42" s="193"/>
      <c r="J42" s="1074"/>
      <c r="K42" s="195"/>
    </row>
    <row r="43" spans="1:11" ht="15.95" customHeight="1" thickBot="1">
      <c r="A43" s="1055" t="s">
        <v>1574</v>
      </c>
      <c r="B43" s="1056"/>
      <c r="C43" s="1056"/>
      <c r="D43" s="1056"/>
      <c r="E43" s="1056"/>
      <c r="F43" s="1056"/>
      <c r="G43" s="1056"/>
      <c r="H43" s="1056"/>
      <c r="I43" s="1056"/>
      <c r="J43" s="1056"/>
      <c r="K43" s="1057"/>
    </row>
    <row r="44" spans="1:11" s="399" customFormat="1" ht="15.95" customHeight="1" thickBot="1">
      <c r="A44" s="960" t="s">
        <v>1820</v>
      </c>
      <c r="B44" s="960" t="s">
        <v>109</v>
      </c>
      <c r="C44" s="960" t="s">
        <v>2122</v>
      </c>
      <c r="D44" s="1071"/>
      <c r="E44" s="1082"/>
      <c r="F44" s="1082"/>
      <c r="G44" s="208"/>
      <c r="H44" s="208">
        <v>970</v>
      </c>
      <c r="I44" s="208">
        <v>4900</v>
      </c>
      <c r="J44" s="1061" t="s">
        <v>2074</v>
      </c>
      <c r="K44" s="195">
        <f>3120+84000+516338+0+55480.7+735000</f>
        <v>1393938.7</v>
      </c>
    </row>
    <row r="45" spans="1:11" s="239" customFormat="1" ht="15.95" customHeight="1">
      <c r="A45" s="966" t="s">
        <v>2123</v>
      </c>
      <c r="B45" s="966" t="s">
        <v>109</v>
      </c>
      <c r="C45" s="966" t="s">
        <v>2091</v>
      </c>
      <c r="D45" s="1083"/>
      <c r="E45" s="1084"/>
      <c r="F45" s="1084"/>
      <c r="G45" s="235"/>
      <c r="H45" s="205">
        <v>1800</v>
      </c>
      <c r="I45" s="205">
        <v>15000</v>
      </c>
      <c r="J45" s="1061" t="s">
        <v>2074</v>
      </c>
      <c r="K45" s="261">
        <f>0+36000+60000+605574.5</f>
        <v>701574.5</v>
      </c>
    </row>
    <row r="46" spans="1:11" ht="15.95" customHeight="1" thickBot="1">
      <c r="A46" s="656"/>
      <c r="B46" s="429"/>
      <c r="C46" s="429"/>
      <c r="D46" s="429"/>
      <c r="E46" s="429"/>
      <c r="F46" s="429"/>
      <c r="G46" s="429"/>
      <c r="H46" s="429"/>
      <c r="I46" s="429"/>
      <c r="J46" s="1085"/>
      <c r="K46" s="650"/>
    </row>
    <row r="47" spans="1:11" ht="15.95" customHeight="1" thickBot="1">
      <c r="A47" s="1055" t="s">
        <v>1579</v>
      </c>
      <c r="B47" s="1056"/>
      <c r="C47" s="1056"/>
      <c r="D47" s="1056"/>
      <c r="E47" s="1056"/>
      <c r="F47" s="1056"/>
      <c r="G47" s="1056"/>
      <c r="H47" s="1056"/>
      <c r="I47" s="1056"/>
      <c r="J47" s="1056"/>
      <c r="K47" s="1057"/>
    </row>
    <row r="48" spans="1:11" s="399" customFormat="1" ht="15.95" customHeight="1">
      <c r="A48" s="1086" t="s">
        <v>2124</v>
      </c>
      <c r="B48" s="1086" t="s">
        <v>1453</v>
      </c>
      <c r="C48" s="1086" t="s">
        <v>2125</v>
      </c>
      <c r="D48" s="1087"/>
      <c r="E48" s="1087"/>
      <c r="F48" s="1087"/>
      <c r="G48" s="431"/>
      <c r="H48" s="652"/>
      <c r="I48" s="652"/>
      <c r="J48" s="1088" t="s">
        <v>2126</v>
      </c>
      <c r="K48" s="652">
        <v>1440492.64</v>
      </c>
    </row>
    <row r="49" spans="1:11" s="399" customFormat="1" ht="15.95" customHeight="1" thickBot="1">
      <c r="A49" s="1086"/>
      <c r="B49" s="1086"/>
      <c r="C49" s="1086"/>
      <c r="D49" s="1087"/>
      <c r="E49" s="1087"/>
      <c r="F49" s="1087"/>
      <c r="G49" s="431"/>
      <c r="H49" s="652"/>
      <c r="I49" s="652"/>
      <c r="J49" s="1072"/>
      <c r="K49" s="652"/>
    </row>
    <row r="50" spans="1:11" ht="15.95" customHeight="1" thickBot="1">
      <c r="A50" s="1055" t="s">
        <v>1580</v>
      </c>
      <c r="B50" s="1056"/>
      <c r="C50" s="1056"/>
      <c r="D50" s="1056"/>
      <c r="E50" s="1056"/>
      <c r="F50" s="1056"/>
      <c r="G50" s="1056"/>
      <c r="H50" s="1056"/>
      <c r="I50" s="1056"/>
      <c r="J50" s="1056"/>
      <c r="K50" s="1057"/>
    </row>
    <row r="51" spans="1:11" s="732" customFormat="1" ht="15.95" customHeight="1" thickBot="1">
      <c r="A51" s="274"/>
      <c r="B51" s="217"/>
      <c r="C51" s="217"/>
      <c r="D51" s="217"/>
      <c r="E51" s="217"/>
      <c r="F51" s="217"/>
      <c r="G51" s="217"/>
      <c r="H51" s="217"/>
      <c r="I51" s="217"/>
      <c r="J51" s="1074"/>
      <c r="K51" s="219"/>
    </row>
    <row r="52" spans="1:11" ht="15.95" customHeight="1" thickBot="1">
      <c r="A52" s="1055" t="s">
        <v>1581</v>
      </c>
      <c r="B52" s="1056"/>
      <c r="C52" s="1056"/>
      <c r="D52" s="1056"/>
      <c r="E52" s="1056"/>
      <c r="F52" s="1056"/>
      <c r="G52" s="1056"/>
      <c r="H52" s="1056"/>
      <c r="I52" s="1056"/>
      <c r="J52" s="1056"/>
      <c r="K52" s="1057"/>
    </row>
    <row r="53" spans="1:11" s="732" customFormat="1" ht="15.95" customHeight="1" thickBot="1">
      <c r="A53" s="563" t="s">
        <v>2127</v>
      </c>
      <c r="B53" s="563" t="s">
        <v>2109</v>
      </c>
      <c r="C53" s="563" t="s">
        <v>2128</v>
      </c>
      <c r="D53" s="1076"/>
      <c r="E53" s="1076">
        <v>0.15</v>
      </c>
      <c r="F53" s="1076">
        <v>0.16</v>
      </c>
      <c r="G53" s="217"/>
      <c r="H53" s="217"/>
      <c r="I53" s="217"/>
      <c r="J53" s="1061" t="s">
        <v>2074</v>
      </c>
      <c r="K53" s="219">
        <f>7426250.28+5551280.69</f>
        <v>12977530.970000001</v>
      </c>
    </row>
    <row r="54" spans="1:11" s="732" customFormat="1" ht="15.95" customHeight="1" thickBot="1">
      <c r="A54" s="563" t="s">
        <v>2129</v>
      </c>
      <c r="B54" s="563" t="s">
        <v>2109</v>
      </c>
      <c r="C54" s="563" t="s">
        <v>2130</v>
      </c>
      <c r="D54" s="1071"/>
      <c r="E54" s="1078"/>
      <c r="F54" s="1078"/>
      <c r="G54" s="232"/>
      <c r="H54" s="1071"/>
      <c r="I54" s="1071"/>
      <c r="J54" s="1061" t="s">
        <v>2074</v>
      </c>
      <c r="K54" s="911">
        <f>22252050+2275973+23400</f>
        <v>24551423</v>
      </c>
    </row>
    <row r="55" spans="1:11" s="732" customFormat="1" ht="15.95" customHeight="1" thickBot="1">
      <c r="A55" s="563" t="s">
        <v>2131</v>
      </c>
      <c r="B55" s="563" t="s">
        <v>1453</v>
      </c>
      <c r="C55" s="563" t="s">
        <v>2091</v>
      </c>
      <c r="D55" s="1068"/>
      <c r="E55" s="1078"/>
      <c r="F55" s="232"/>
      <c r="G55" s="1068">
        <v>1000</v>
      </c>
      <c r="H55" s="232"/>
      <c r="I55" s="232"/>
      <c r="J55" s="1061" t="s">
        <v>2074</v>
      </c>
      <c r="K55" s="219">
        <v>936000</v>
      </c>
    </row>
    <row r="56" spans="1:11" s="732" customFormat="1" ht="15.95" customHeight="1" thickBot="1">
      <c r="A56" s="563" t="s">
        <v>290</v>
      </c>
      <c r="B56" s="563" t="s">
        <v>1396</v>
      </c>
      <c r="C56" s="563" t="s">
        <v>2091</v>
      </c>
      <c r="D56" s="1068"/>
      <c r="F56" s="232"/>
      <c r="G56" s="1071">
        <v>1500</v>
      </c>
      <c r="H56" s="232"/>
      <c r="I56" s="232"/>
      <c r="J56" s="1061" t="s">
        <v>2074</v>
      </c>
      <c r="K56" s="219">
        <v>366850</v>
      </c>
    </row>
    <row r="57" spans="1:11" s="732" customFormat="1" ht="15.95" customHeight="1" thickBot="1">
      <c r="A57" s="563" t="s">
        <v>2132</v>
      </c>
      <c r="B57" s="563" t="s">
        <v>2133</v>
      </c>
      <c r="C57" s="563" t="s">
        <v>2091</v>
      </c>
      <c r="D57" s="1071"/>
      <c r="E57" s="1071"/>
      <c r="F57" s="232"/>
      <c r="G57" s="1069">
        <v>1200</v>
      </c>
      <c r="H57" s="232"/>
      <c r="I57" s="232"/>
      <c r="J57" s="1061" t="s">
        <v>2074</v>
      </c>
      <c r="K57" s="1475">
        <f>44400+0</f>
        <v>44400</v>
      </c>
    </row>
    <row r="58" spans="1:11" s="732" customFormat="1" ht="15.95" customHeight="1" thickBot="1">
      <c r="A58" s="563" t="s">
        <v>2134</v>
      </c>
      <c r="B58" s="563" t="s">
        <v>283</v>
      </c>
      <c r="C58" s="563" t="s">
        <v>2091</v>
      </c>
      <c r="D58" s="1071"/>
      <c r="E58" s="1071"/>
      <c r="F58" s="232"/>
      <c r="G58" s="1069"/>
      <c r="H58" s="1069">
        <v>300</v>
      </c>
      <c r="I58" s="1069">
        <v>1500</v>
      </c>
      <c r="J58" s="1061" t="s">
        <v>2074</v>
      </c>
      <c r="K58" s="1476"/>
    </row>
    <row r="59" spans="1:11" s="732" customFormat="1" ht="15.95" customHeight="1" thickBot="1">
      <c r="A59" s="563" t="s">
        <v>2135</v>
      </c>
      <c r="B59" s="563" t="s">
        <v>283</v>
      </c>
      <c r="C59" s="563" t="s">
        <v>2091</v>
      </c>
      <c r="D59" s="1071"/>
      <c r="E59" s="1071"/>
      <c r="F59" s="232"/>
      <c r="G59" s="1069">
        <v>650</v>
      </c>
      <c r="H59" s="232"/>
      <c r="I59" s="232"/>
      <c r="J59" s="1061" t="s">
        <v>2074</v>
      </c>
      <c r="K59" s="1476"/>
    </row>
    <row r="60" spans="1:11" s="732" customFormat="1" ht="15.95" customHeight="1">
      <c r="A60" s="563" t="s">
        <v>2136</v>
      </c>
      <c r="B60" s="563" t="s">
        <v>2109</v>
      </c>
      <c r="C60" s="563" t="s">
        <v>2091</v>
      </c>
      <c r="D60" s="1071"/>
      <c r="E60" s="1071"/>
      <c r="F60" s="232"/>
      <c r="G60" s="1069">
        <v>500</v>
      </c>
      <c r="H60" s="232"/>
      <c r="I60" s="232"/>
      <c r="J60" s="1061" t="s">
        <v>2074</v>
      </c>
      <c r="K60" s="1477"/>
    </row>
    <row r="61" spans="1:11" s="732" customFormat="1" ht="15.95" customHeight="1">
      <c r="A61" s="563"/>
      <c r="B61" s="563"/>
      <c r="C61" s="563"/>
      <c r="D61" s="1068"/>
      <c r="E61" s="1078"/>
      <c r="F61" s="1078"/>
      <c r="G61" s="217"/>
      <c r="H61" s="1089"/>
      <c r="I61" s="1089"/>
      <c r="J61" s="1074"/>
      <c r="K61" s="219"/>
    </row>
    <row r="62" spans="1:11" ht="15.95" customHeight="1">
      <c r="A62" s="984" t="s">
        <v>2137</v>
      </c>
      <c r="B62" s="985"/>
      <c r="C62" s="985"/>
      <c r="D62" s="985"/>
      <c r="E62" s="985"/>
      <c r="F62" s="985"/>
      <c r="G62" s="985"/>
      <c r="H62" s="985"/>
      <c r="I62" s="985"/>
      <c r="J62" s="985"/>
      <c r="K62" s="1090">
        <f>SUM(K12:K61)</f>
        <v>119775867.47000001</v>
      </c>
    </row>
    <row r="63" spans="1:11">
      <c r="A63" s="245"/>
      <c r="B63" s="246"/>
      <c r="C63" s="246"/>
      <c r="D63" s="246"/>
      <c r="E63" s="246"/>
      <c r="F63" s="246"/>
      <c r="G63" s="246"/>
      <c r="H63" s="246"/>
      <c r="I63" s="246"/>
      <c r="J63" s="246"/>
      <c r="K63" s="1091"/>
    </row>
    <row r="65" spans="1:11">
      <c r="K65" s="778">
        <f>+K62-119775867.47</f>
        <v>0</v>
      </c>
    </row>
    <row r="66" spans="1:11">
      <c r="A66" s="909"/>
      <c r="B66" s="909"/>
    </row>
  </sheetData>
  <mergeCells count="15">
    <mergeCell ref="H6:I6"/>
    <mergeCell ref="A7:A8"/>
    <mergeCell ref="B7:B8"/>
    <mergeCell ref="C7:C8"/>
    <mergeCell ref="D7:D8"/>
    <mergeCell ref="E7:F7"/>
    <mergeCell ref="G7:G8"/>
    <mergeCell ref="H7:I7"/>
    <mergeCell ref="K57:K60"/>
    <mergeCell ref="J7:J8"/>
    <mergeCell ref="K7:K8"/>
    <mergeCell ref="K13:K18"/>
    <mergeCell ref="K19:K24"/>
    <mergeCell ref="K32:K34"/>
    <mergeCell ref="K36:K37"/>
  </mergeCells>
  <pageMargins left="0.23622047244094491" right="0.23622047244094491" top="0.15748031496062992" bottom="0.15748031496062992" header="0" footer="0"/>
  <pageSetup paperSize="9" scale="5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L46"/>
  <sheetViews>
    <sheetView workbookViewId="0"/>
  </sheetViews>
  <sheetFormatPr baseColWidth="10" defaultRowHeight="15"/>
  <cols>
    <col min="1" max="1" width="51.7109375" customWidth="1"/>
    <col min="2" max="2" width="12.28515625" customWidth="1"/>
    <col min="3" max="3" width="11.7109375" customWidth="1"/>
    <col min="4" max="4" width="9.28515625" customWidth="1"/>
    <col min="5" max="6" width="10" customWidth="1"/>
    <col min="7" max="7" width="11.5703125" bestFit="1" customWidth="1"/>
    <col min="8" max="8" width="8.7109375" customWidth="1"/>
    <col min="9" max="9" width="12.42578125" bestFit="1" customWidth="1"/>
    <col min="10" max="10" width="10.28515625" customWidth="1"/>
    <col min="11" max="11" width="15.7109375" customWidth="1"/>
    <col min="257" max="257" width="51.7109375" customWidth="1"/>
    <col min="258" max="258" width="12.28515625" customWidth="1"/>
    <col min="259" max="259" width="11.7109375" customWidth="1"/>
    <col min="260" max="260" width="9.28515625" customWidth="1"/>
    <col min="261" max="262" width="10" customWidth="1"/>
    <col min="263" max="263" width="11.5703125" bestFit="1" customWidth="1"/>
    <col min="264" max="264" width="8.7109375" customWidth="1"/>
    <col min="265" max="265" width="12.42578125" bestFit="1" customWidth="1"/>
    <col min="266" max="266" width="10.28515625" customWidth="1"/>
    <col min="267" max="267" width="15.7109375" customWidth="1"/>
    <col min="513" max="513" width="51.7109375" customWidth="1"/>
    <col min="514" max="514" width="12.28515625" customWidth="1"/>
    <col min="515" max="515" width="11.7109375" customWidth="1"/>
    <col min="516" max="516" width="9.28515625" customWidth="1"/>
    <col min="517" max="518" width="10" customWidth="1"/>
    <col min="519" max="519" width="11.5703125" bestFit="1" customWidth="1"/>
    <col min="520" max="520" width="8.7109375" customWidth="1"/>
    <col min="521" max="521" width="12.42578125" bestFit="1" customWidth="1"/>
    <col min="522" max="522" width="10.28515625" customWidth="1"/>
    <col min="523" max="523" width="15.7109375" customWidth="1"/>
    <col min="769" max="769" width="51.7109375" customWidth="1"/>
    <col min="770" max="770" width="12.28515625" customWidth="1"/>
    <col min="771" max="771" width="11.7109375" customWidth="1"/>
    <col min="772" max="772" width="9.28515625" customWidth="1"/>
    <col min="773" max="774" width="10" customWidth="1"/>
    <col min="775" max="775" width="11.5703125" bestFit="1" customWidth="1"/>
    <col min="776" max="776" width="8.7109375" customWidth="1"/>
    <col min="777" max="777" width="12.42578125" bestFit="1" customWidth="1"/>
    <col min="778" max="778" width="10.28515625" customWidth="1"/>
    <col min="779" max="779" width="15.7109375" customWidth="1"/>
    <col min="1025" max="1025" width="51.7109375" customWidth="1"/>
    <col min="1026" max="1026" width="12.28515625" customWidth="1"/>
    <col min="1027" max="1027" width="11.7109375" customWidth="1"/>
    <col min="1028" max="1028" width="9.28515625" customWidth="1"/>
    <col min="1029" max="1030" width="10" customWidth="1"/>
    <col min="1031" max="1031" width="11.5703125" bestFit="1" customWidth="1"/>
    <col min="1032" max="1032" width="8.7109375" customWidth="1"/>
    <col min="1033" max="1033" width="12.42578125" bestFit="1" customWidth="1"/>
    <col min="1034" max="1034" width="10.28515625" customWidth="1"/>
    <col min="1035" max="1035" width="15.7109375" customWidth="1"/>
    <col min="1281" max="1281" width="51.7109375" customWidth="1"/>
    <col min="1282" max="1282" width="12.28515625" customWidth="1"/>
    <col min="1283" max="1283" width="11.7109375" customWidth="1"/>
    <col min="1284" max="1284" width="9.28515625" customWidth="1"/>
    <col min="1285" max="1286" width="10" customWidth="1"/>
    <col min="1287" max="1287" width="11.5703125" bestFit="1" customWidth="1"/>
    <col min="1288" max="1288" width="8.7109375" customWidth="1"/>
    <col min="1289" max="1289" width="12.42578125" bestFit="1" customWidth="1"/>
    <col min="1290" max="1290" width="10.28515625" customWidth="1"/>
    <col min="1291" max="1291" width="15.7109375" customWidth="1"/>
    <col min="1537" max="1537" width="51.7109375" customWidth="1"/>
    <col min="1538" max="1538" width="12.28515625" customWidth="1"/>
    <col min="1539" max="1539" width="11.7109375" customWidth="1"/>
    <col min="1540" max="1540" width="9.28515625" customWidth="1"/>
    <col min="1541" max="1542" width="10" customWidth="1"/>
    <col min="1543" max="1543" width="11.5703125" bestFit="1" customWidth="1"/>
    <col min="1544" max="1544" width="8.7109375" customWidth="1"/>
    <col min="1545" max="1545" width="12.42578125" bestFit="1" customWidth="1"/>
    <col min="1546" max="1546" width="10.28515625" customWidth="1"/>
    <col min="1547" max="1547" width="15.7109375" customWidth="1"/>
    <col min="1793" max="1793" width="51.7109375" customWidth="1"/>
    <col min="1794" max="1794" width="12.28515625" customWidth="1"/>
    <col min="1795" max="1795" width="11.7109375" customWidth="1"/>
    <col min="1796" max="1796" width="9.28515625" customWidth="1"/>
    <col min="1797" max="1798" width="10" customWidth="1"/>
    <col min="1799" max="1799" width="11.5703125" bestFit="1" customWidth="1"/>
    <col min="1800" max="1800" width="8.7109375" customWidth="1"/>
    <col min="1801" max="1801" width="12.42578125" bestFit="1" customWidth="1"/>
    <col min="1802" max="1802" width="10.28515625" customWidth="1"/>
    <col min="1803" max="1803" width="15.7109375" customWidth="1"/>
    <col min="2049" max="2049" width="51.7109375" customWidth="1"/>
    <col min="2050" max="2050" width="12.28515625" customWidth="1"/>
    <col min="2051" max="2051" width="11.7109375" customWidth="1"/>
    <col min="2052" max="2052" width="9.28515625" customWidth="1"/>
    <col min="2053" max="2054" width="10" customWidth="1"/>
    <col min="2055" max="2055" width="11.5703125" bestFit="1" customWidth="1"/>
    <col min="2056" max="2056" width="8.7109375" customWidth="1"/>
    <col min="2057" max="2057" width="12.42578125" bestFit="1" customWidth="1"/>
    <col min="2058" max="2058" width="10.28515625" customWidth="1"/>
    <col min="2059" max="2059" width="15.7109375" customWidth="1"/>
    <col min="2305" max="2305" width="51.7109375" customWidth="1"/>
    <col min="2306" max="2306" width="12.28515625" customWidth="1"/>
    <col min="2307" max="2307" width="11.7109375" customWidth="1"/>
    <col min="2308" max="2308" width="9.28515625" customWidth="1"/>
    <col min="2309" max="2310" width="10" customWidth="1"/>
    <col min="2311" max="2311" width="11.5703125" bestFit="1" customWidth="1"/>
    <col min="2312" max="2312" width="8.7109375" customWidth="1"/>
    <col min="2313" max="2313" width="12.42578125" bestFit="1" customWidth="1"/>
    <col min="2314" max="2314" width="10.28515625" customWidth="1"/>
    <col min="2315" max="2315" width="15.7109375" customWidth="1"/>
    <col min="2561" max="2561" width="51.7109375" customWidth="1"/>
    <col min="2562" max="2562" width="12.28515625" customWidth="1"/>
    <col min="2563" max="2563" width="11.7109375" customWidth="1"/>
    <col min="2564" max="2564" width="9.28515625" customWidth="1"/>
    <col min="2565" max="2566" width="10" customWidth="1"/>
    <col min="2567" max="2567" width="11.5703125" bestFit="1" customWidth="1"/>
    <col min="2568" max="2568" width="8.7109375" customWidth="1"/>
    <col min="2569" max="2569" width="12.42578125" bestFit="1" customWidth="1"/>
    <col min="2570" max="2570" width="10.28515625" customWidth="1"/>
    <col min="2571" max="2571" width="15.7109375" customWidth="1"/>
    <col min="2817" max="2817" width="51.7109375" customWidth="1"/>
    <col min="2818" max="2818" width="12.28515625" customWidth="1"/>
    <col min="2819" max="2819" width="11.7109375" customWidth="1"/>
    <col min="2820" max="2820" width="9.28515625" customWidth="1"/>
    <col min="2821" max="2822" width="10" customWidth="1"/>
    <col min="2823" max="2823" width="11.5703125" bestFit="1" customWidth="1"/>
    <col min="2824" max="2824" width="8.7109375" customWidth="1"/>
    <col min="2825" max="2825" width="12.42578125" bestFit="1" customWidth="1"/>
    <col min="2826" max="2826" width="10.28515625" customWidth="1"/>
    <col min="2827" max="2827" width="15.7109375" customWidth="1"/>
    <col min="3073" max="3073" width="51.7109375" customWidth="1"/>
    <col min="3074" max="3074" width="12.28515625" customWidth="1"/>
    <col min="3075" max="3075" width="11.7109375" customWidth="1"/>
    <col min="3076" max="3076" width="9.28515625" customWidth="1"/>
    <col min="3077" max="3078" width="10" customWidth="1"/>
    <col min="3079" max="3079" width="11.5703125" bestFit="1" customWidth="1"/>
    <col min="3080" max="3080" width="8.7109375" customWidth="1"/>
    <col min="3081" max="3081" width="12.42578125" bestFit="1" customWidth="1"/>
    <col min="3082" max="3082" width="10.28515625" customWidth="1"/>
    <col min="3083" max="3083" width="15.7109375" customWidth="1"/>
    <col min="3329" max="3329" width="51.7109375" customWidth="1"/>
    <col min="3330" max="3330" width="12.28515625" customWidth="1"/>
    <col min="3331" max="3331" width="11.7109375" customWidth="1"/>
    <col min="3332" max="3332" width="9.28515625" customWidth="1"/>
    <col min="3333" max="3334" width="10" customWidth="1"/>
    <col min="3335" max="3335" width="11.5703125" bestFit="1" customWidth="1"/>
    <col min="3336" max="3336" width="8.7109375" customWidth="1"/>
    <col min="3337" max="3337" width="12.42578125" bestFit="1" customWidth="1"/>
    <col min="3338" max="3338" width="10.28515625" customWidth="1"/>
    <col min="3339" max="3339" width="15.7109375" customWidth="1"/>
    <col min="3585" max="3585" width="51.7109375" customWidth="1"/>
    <col min="3586" max="3586" width="12.28515625" customWidth="1"/>
    <col min="3587" max="3587" width="11.7109375" customWidth="1"/>
    <col min="3588" max="3588" width="9.28515625" customWidth="1"/>
    <col min="3589" max="3590" width="10" customWidth="1"/>
    <col min="3591" max="3591" width="11.5703125" bestFit="1" customWidth="1"/>
    <col min="3592" max="3592" width="8.7109375" customWidth="1"/>
    <col min="3593" max="3593" width="12.42578125" bestFit="1" customWidth="1"/>
    <col min="3594" max="3594" width="10.28515625" customWidth="1"/>
    <col min="3595" max="3595" width="15.7109375" customWidth="1"/>
    <col min="3841" max="3841" width="51.7109375" customWidth="1"/>
    <col min="3842" max="3842" width="12.28515625" customWidth="1"/>
    <col min="3843" max="3843" width="11.7109375" customWidth="1"/>
    <col min="3844" max="3844" width="9.28515625" customWidth="1"/>
    <col min="3845" max="3846" width="10" customWidth="1"/>
    <col min="3847" max="3847" width="11.5703125" bestFit="1" customWidth="1"/>
    <col min="3848" max="3848" width="8.7109375" customWidth="1"/>
    <col min="3849" max="3849" width="12.42578125" bestFit="1" customWidth="1"/>
    <col min="3850" max="3850" width="10.28515625" customWidth="1"/>
    <col min="3851" max="3851" width="15.7109375" customWidth="1"/>
    <col min="4097" max="4097" width="51.7109375" customWidth="1"/>
    <col min="4098" max="4098" width="12.28515625" customWidth="1"/>
    <col min="4099" max="4099" width="11.7109375" customWidth="1"/>
    <col min="4100" max="4100" width="9.28515625" customWidth="1"/>
    <col min="4101" max="4102" width="10" customWidth="1"/>
    <col min="4103" max="4103" width="11.5703125" bestFit="1" customWidth="1"/>
    <col min="4104" max="4104" width="8.7109375" customWidth="1"/>
    <col min="4105" max="4105" width="12.42578125" bestFit="1" customWidth="1"/>
    <col min="4106" max="4106" width="10.28515625" customWidth="1"/>
    <col min="4107" max="4107" width="15.7109375" customWidth="1"/>
    <col min="4353" max="4353" width="51.7109375" customWidth="1"/>
    <col min="4354" max="4354" width="12.28515625" customWidth="1"/>
    <col min="4355" max="4355" width="11.7109375" customWidth="1"/>
    <col min="4356" max="4356" width="9.28515625" customWidth="1"/>
    <col min="4357" max="4358" width="10" customWidth="1"/>
    <col min="4359" max="4359" width="11.5703125" bestFit="1" customWidth="1"/>
    <col min="4360" max="4360" width="8.7109375" customWidth="1"/>
    <col min="4361" max="4361" width="12.42578125" bestFit="1" customWidth="1"/>
    <col min="4362" max="4362" width="10.28515625" customWidth="1"/>
    <col min="4363" max="4363" width="15.7109375" customWidth="1"/>
    <col min="4609" max="4609" width="51.7109375" customWidth="1"/>
    <col min="4610" max="4610" width="12.28515625" customWidth="1"/>
    <col min="4611" max="4611" width="11.7109375" customWidth="1"/>
    <col min="4612" max="4612" width="9.28515625" customWidth="1"/>
    <col min="4613" max="4614" width="10" customWidth="1"/>
    <col min="4615" max="4615" width="11.5703125" bestFit="1" customWidth="1"/>
    <col min="4616" max="4616" width="8.7109375" customWidth="1"/>
    <col min="4617" max="4617" width="12.42578125" bestFit="1" customWidth="1"/>
    <col min="4618" max="4618" width="10.28515625" customWidth="1"/>
    <col min="4619" max="4619" width="15.7109375" customWidth="1"/>
    <col min="4865" max="4865" width="51.7109375" customWidth="1"/>
    <col min="4866" max="4866" width="12.28515625" customWidth="1"/>
    <col min="4867" max="4867" width="11.7109375" customWidth="1"/>
    <col min="4868" max="4868" width="9.28515625" customWidth="1"/>
    <col min="4869" max="4870" width="10" customWidth="1"/>
    <col min="4871" max="4871" width="11.5703125" bestFit="1" customWidth="1"/>
    <col min="4872" max="4872" width="8.7109375" customWidth="1"/>
    <col min="4873" max="4873" width="12.42578125" bestFit="1" customWidth="1"/>
    <col min="4874" max="4874" width="10.28515625" customWidth="1"/>
    <col min="4875" max="4875" width="15.7109375" customWidth="1"/>
    <col min="5121" max="5121" width="51.7109375" customWidth="1"/>
    <col min="5122" max="5122" width="12.28515625" customWidth="1"/>
    <col min="5123" max="5123" width="11.7109375" customWidth="1"/>
    <col min="5124" max="5124" width="9.28515625" customWidth="1"/>
    <col min="5125" max="5126" width="10" customWidth="1"/>
    <col min="5127" max="5127" width="11.5703125" bestFit="1" customWidth="1"/>
    <col min="5128" max="5128" width="8.7109375" customWidth="1"/>
    <col min="5129" max="5129" width="12.42578125" bestFit="1" customWidth="1"/>
    <col min="5130" max="5130" width="10.28515625" customWidth="1"/>
    <col min="5131" max="5131" width="15.7109375" customWidth="1"/>
    <col min="5377" max="5377" width="51.7109375" customWidth="1"/>
    <col min="5378" max="5378" width="12.28515625" customWidth="1"/>
    <col min="5379" max="5379" width="11.7109375" customWidth="1"/>
    <col min="5380" max="5380" width="9.28515625" customWidth="1"/>
    <col min="5381" max="5382" width="10" customWidth="1"/>
    <col min="5383" max="5383" width="11.5703125" bestFit="1" customWidth="1"/>
    <col min="5384" max="5384" width="8.7109375" customWidth="1"/>
    <col min="5385" max="5385" width="12.42578125" bestFit="1" customWidth="1"/>
    <col min="5386" max="5386" width="10.28515625" customWidth="1"/>
    <col min="5387" max="5387" width="15.7109375" customWidth="1"/>
    <col min="5633" max="5633" width="51.7109375" customWidth="1"/>
    <col min="5634" max="5634" width="12.28515625" customWidth="1"/>
    <col min="5635" max="5635" width="11.7109375" customWidth="1"/>
    <col min="5636" max="5636" width="9.28515625" customWidth="1"/>
    <col min="5637" max="5638" width="10" customWidth="1"/>
    <col min="5639" max="5639" width="11.5703125" bestFit="1" customWidth="1"/>
    <col min="5640" max="5640" width="8.7109375" customWidth="1"/>
    <col min="5641" max="5641" width="12.42578125" bestFit="1" customWidth="1"/>
    <col min="5642" max="5642" width="10.28515625" customWidth="1"/>
    <col min="5643" max="5643" width="15.7109375" customWidth="1"/>
    <col min="5889" max="5889" width="51.7109375" customWidth="1"/>
    <col min="5890" max="5890" width="12.28515625" customWidth="1"/>
    <col min="5891" max="5891" width="11.7109375" customWidth="1"/>
    <col min="5892" max="5892" width="9.28515625" customWidth="1"/>
    <col min="5893" max="5894" width="10" customWidth="1"/>
    <col min="5895" max="5895" width="11.5703125" bestFit="1" customWidth="1"/>
    <col min="5896" max="5896" width="8.7109375" customWidth="1"/>
    <col min="5897" max="5897" width="12.42578125" bestFit="1" customWidth="1"/>
    <col min="5898" max="5898" width="10.28515625" customWidth="1"/>
    <col min="5899" max="5899" width="15.7109375" customWidth="1"/>
    <col min="6145" max="6145" width="51.7109375" customWidth="1"/>
    <col min="6146" max="6146" width="12.28515625" customWidth="1"/>
    <col min="6147" max="6147" width="11.7109375" customWidth="1"/>
    <col min="6148" max="6148" width="9.28515625" customWidth="1"/>
    <col min="6149" max="6150" width="10" customWidth="1"/>
    <col min="6151" max="6151" width="11.5703125" bestFit="1" customWidth="1"/>
    <col min="6152" max="6152" width="8.7109375" customWidth="1"/>
    <col min="6153" max="6153" width="12.42578125" bestFit="1" customWidth="1"/>
    <col min="6154" max="6154" width="10.28515625" customWidth="1"/>
    <col min="6155" max="6155" width="15.7109375" customWidth="1"/>
    <col min="6401" max="6401" width="51.7109375" customWidth="1"/>
    <col min="6402" max="6402" width="12.28515625" customWidth="1"/>
    <col min="6403" max="6403" width="11.7109375" customWidth="1"/>
    <col min="6404" max="6404" width="9.28515625" customWidth="1"/>
    <col min="6405" max="6406" width="10" customWidth="1"/>
    <col min="6407" max="6407" width="11.5703125" bestFit="1" customWidth="1"/>
    <col min="6408" max="6408" width="8.7109375" customWidth="1"/>
    <col min="6409" max="6409" width="12.42578125" bestFit="1" customWidth="1"/>
    <col min="6410" max="6410" width="10.28515625" customWidth="1"/>
    <col min="6411" max="6411" width="15.7109375" customWidth="1"/>
    <col min="6657" max="6657" width="51.7109375" customWidth="1"/>
    <col min="6658" max="6658" width="12.28515625" customWidth="1"/>
    <col min="6659" max="6659" width="11.7109375" customWidth="1"/>
    <col min="6660" max="6660" width="9.28515625" customWidth="1"/>
    <col min="6661" max="6662" width="10" customWidth="1"/>
    <col min="6663" max="6663" width="11.5703125" bestFit="1" customWidth="1"/>
    <col min="6664" max="6664" width="8.7109375" customWidth="1"/>
    <col min="6665" max="6665" width="12.42578125" bestFit="1" customWidth="1"/>
    <col min="6666" max="6666" width="10.28515625" customWidth="1"/>
    <col min="6667" max="6667" width="15.7109375" customWidth="1"/>
    <col min="6913" max="6913" width="51.7109375" customWidth="1"/>
    <col min="6914" max="6914" width="12.28515625" customWidth="1"/>
    <col min="6915" max="6915" width="11.7109375" customWidth="1"/>
    <col min="6916" max="6916" width="9.28515625" customWidth="1"/>
    <col min="6917" max="6918" width="10" customWidth="1"/>
    <col min="6919" max="6919" width="11.5703125" bestFit="1" customWidth="1"/>
    <col min="6920" max="6920" width="8.7109375" customWidth="1"/>
    <col min="6921" max="6921" width="12.42578125" bestFit="1" customWidth="1"/>
    <col min="6922" max="6922" width="10.28515625" customWidth="1"/>
    <col min="6923" max="6923" width="15.7109375" customWidth="1"/>
    <col min="7169" max="7169" width="51.7109375" customWidth="1"/>
    <col min="7170" max="7170" width="12.28515625" customWidth="1"/>
    <col min="7171" max="7171" width="11.7109375" customWidth="1"/>
    <col min="7172" max="7172" width="9.28515625" customWidth="1"/>
    <col min="7173" max="7174" width="10" customWidth="1"/>
    <col min="7175" max="7175" width="11.5703125" bestFit="1" customWidth="1"/>
    <col min="7176" max="7176" width="8.7109375" customWidth="1"/>
    <col min="7177" max="7177" width="12.42578125" bestFit="1" customWidth="1"/>
    <col min="7178" max="7178" width="10.28515625" customWidth="1"/>
    <col min="7179" max="7179" width="15.7109375" customWidth="1"/>
    <col min="7425" max="7425" width="51.7109375" customWidth="1"/>
    <col min="7426" max="7426" width="12.28515625" customWidth="1"/>
    <col min="7427" max="7427" width="11.7109375" customWidth="1"/>
    <col min="7428" max="7428" width="9.28515625" customWidth="1"/>
    <col min="7429" max="7430" width="10" customWidth="1"/>
    <col min="7431" max="7431" width="11.5703125" bestFit="1" customWidth="1"/>
    <col min="7432" max="7432" width="8.7109375" customWidth="1"/>
    <col min="7433" max="7433" width="12.42578125" bestFit="1" customWidth="1"/>
    <col min="7434" max="7434" width="10.28515625" customWidth="1"/>
    <col min="7435" max="7435" width="15.7109375" customWidth="1"/>
    <col min="7681" max="7681" width="51.7109375" customWidth="1"/>
    <col min="7682" max="7682" width="12.28515625" customWidth="1"/>
    <col min="7683" max="7683" width="11.7109375" customWidth="1"/>
    <col min="7684" max="7684" width="9.28515625" customWidth="1"/>
    <col min="7685" max="7686" width="10" customWidth="1"/>
    <col min="7687" max="7687" width="11.5703125" bestFit="1" customWidth="1"/>
    <col min="7688" max="7688" width="8.7109375" customWidth="1"/>
    <col min="7689" max="7689" width="12.42578125" bestFit="1" customWidth="1"/>
    <col min="7690" max="7690" width="10.28515625" customWidth="1"/>
    <col min="7691" max="7691" width="15.7109375" customWidth="1"/>
    <col min="7937" max="7937" width="51.7109375" customWidth="1"/>
    <col min="7938" max="7938" width="12.28515625" customWidth="1"/>
    <col min="7939" max="7939" width="11.7109375" customWidth="1"/>
    <col min="7940" max="7940" width="9.28515625" customWidth="1"/>
    <col min="7941" max="7942" width="10" customWidth="1"/>
    <col min="7943" max="7943" width="11.5703125" bestFit="1" customWidth="1"/>
    <col min="7944" max="7944" width="8.7109375" customWidth="1"/>
    <col min="7945" max="7945" width="12.42578125" bestFit="1" customWidth="1"/>
    <col min="7946" max="7946" width="10.28515625" customWidth="1"/>
    <col min="7947" max="7947" width="15.7109375" customWidth="1"/>
    <col min="8193" max="8193" width="51.7109375" customWidth="1"/>
    <col min="8194" max="8194" width="12.28515625" customWidth="1"/>
    <col min="8195" max="8195" width="11.7109375" customWidth="1"/>
    <col min="8196" max="8196" width="9.28515625" customWidth="1"/>
    <col min="8197" max="8198" width="10" customWidth="1"/>
    <col min="8199" max="8199" width="11.5703125" bestFit="1" customWidth="1"/>
    <col min="8200" max="8200" width="8.7109375" customWidth="1"/>
    <col min="8201" max="8201" width="12.42578125" bestFit="1" customWidth="1"/>
    <col min="8202" max="8202" width="10.28515625" customWidth="1"/>
    <col min="8203" max="8203" width="15.7109375" customWidth="1"/>
    <col min="8449" max="8449" width="51.7109375" customWidth="1"/>
    <col min="8450" max="8450" width="12.28515625" customWidth="1"/>
    <col min="8451" max="8451" width="11.7109375" customWidth="1"/>
    <col min="8452" max="8452" width="9.28515625" customWidth="1"/>
    <col min="8453" max="8454" width="10" customWidth="1"/>
    <col min="8455" max="8455" width="11.5703125" bestFit="1" customWidth="1"/>
    <col min="8456" max="8456" width="8.7109375" customWidth="1"/>
    <col min="8457" max="8457" width="12.42578125" bestFit="1" customWidth="1"/>
    <col min="8458" max="8458" width="10.28515625" customWidth="1"/>
    <col min="8459" max="8459" width="15.7109375" customWidth="1"/>
    <col min="8705" max="8705" width="51.7109375" customWidth="1"/>
    <col min="8706" max="8706" width="12.28515625" customWidth="1"/>
    <col min="8707" max="8707" width="11.7109375" customWidth="1"/>
    <col min="8708" max="8708" width="9.28515625" customWidth="1"/>
    <col min="8709" max="8710" width="10" customWidth="1"/>
    <col min="8711" max="8711" width="11.5703125" bestFit="1" customWidth="1"/>
    <col min="8712" max="8712" width="8.7109375" customWidth="1"/>
    <col min="8713" max="8713" width="12.42578125" bestFit="1" customWidth="1"/>
    <col min="8714" max="8714" width="10.28515625" customWidth="1"/>
    <col min="8715" max="8715" width="15.7109375" customWidth="1"/>
    <col min="8961" max="8961" width="51.7109375" customWidth="1"/>
    <col min="8962" max="8962" width="12.28515625" customWidth="1"/>
    <col min="8963" max="8963" width="11.7109375" customWidth="1"/>
    <col min="8964" max="8964" width="9.28515625" customWidth="1"/>
    <col min="8965" max="8966" width="10" customWidth="1"/>
    <col min="8967" max="8967" width="11.5703125" bestFit="1" customWidth="1"/>
    <col min="8968" max="8968" width="8.7109375" customWidth="1"/>
    <col min="8969" max="8969" width="12.42578125" bestFit="1" customWidth="1"/>
    <col min="8970" max="8970" width="10.28515625" customWidth="1"/>
    <col min="8971" max="8971" width="15.7109375" customWidth="1"/>
    <col min="9217" max="9217" width="51.7109375" customWidth="1"/>
    <col min="9218" max="9218" width="12.28515625" customWidth="1"/>
    <col min="9219" max="9219" width="11.7109375" customWidth="1"/>
    <col min="9220" max="9220" width="9.28515625" customWidth="1"/>
    <col min="9221" max="9222" width="10" customWidth="1"/>
    <col min="9223" max="9223" width="11.5703125" bestFit="1" customWidth="1"/>
    <col min="9224" max="9224" width="8.7109375" customWidth="1"/>
    <col min="9225" max="9225" width="12.42578125" bestFit="1" customWidth="1"/>
    <col min="9226" max="9226" width="10.28515625" customWidth="1"/>
    <col min="9227" max="9227" width="15.7109375" customWidth="1"/>
    <col min="9473" max="9473" width="51.7109375" customWidth="1"/>
    <col min="9474" max="9474" width="12.28515625" customWidth="1"/>
    <col min="9475" max="9475" width="11.7109375" customWidth="1"/>
    <col min="9476" max="9476" width="9.28515625" customWidth="1"/>
    <col min="9477" max="9478" width="10" customWidth="1"/>
    <col min="9479" max="9479" width="11.5703125" bestFit="1" customWidth="1"/>
    <col min="9480" max="9480" width="8.7109375" customWidth="1"/>
    <col min="9481" max="9481" width="12.42578125" bestFit="1" customWidth="1"/>
    <col min="9482" max="9482" width="10.28515625" customWidth="1"/>
    <col min="9483" max="9483" width="15.7109375" customWidth="1"/>
    <col min="9729" max="9729" width="51.7109375" customWidth="1"/>
    <col min="9730" max="9730" width="12.28515625" customWidth="1"/>
    <col min="9731" max="9731" width="11.7109375" customWidth="1"/>
    <col min="9732" max="9732" width="9.28515625" customWidth="1"/>
    <col min="9733" max="9734" width="10" customWidth="1"/>
    <col min="9735" max="9735" width="11.5703125" bestFit="1" customWidth="1"/>
    <col min="9736" max="9736" width="8.7109375" customWidth="1"/>
    <col min="9737" max="9737" width="12.42578125" bestFit="1" customWidth="1"/>
    <col min="9738" max="9738" width="10.28515625" customWidth="1"/>
    <col min="9739" max="9739" width="15.7109375" customWidth="1"/>
    <col min="9985" max="9985" width="51.7109375" customWidth="1"/>
    <col min="9986" max="9986" width="12.28515625" customWidth="1"/>
    <col min="9987" max="9987" width="11.7109375" customWidth="1"/>
    <col min="9988" max="9988" width="9.28515625" customWidth="1"/>
    <col min="9989" max="9990" width="10" customWidth="1"/>
    <col min="9991" max="9991" width="11.5703125" bestFit="1" customWidth="1"/>
    <col min="9992" max="9992" width="8.7109375" customWidth="1"/>
    <col min="9993" max="9993" width="12.42578125" bestFit="1" customWidth="1"/>
    <col min="9994" max="9994" width="10.28515625" customWidth="1"/>
    <col min="9995" max="9995" width="15.7109375" customWidth="1"/>
    <col min="10241" max="10241" width="51.7109375" customWidth="1"/>
    <col min="10242" max="10242" width="12.28515625" customWidth="1"/>
    <col min="10243" max="10243" width="11.7109375" customWidth="1"/>
    <col min="10244" max="10244" width="9.28515625" customWidth="1"/>
    <col min="10245" max="10246" width="10" customWidth="1"/>
    <col min="10247" max="10247" width="11.5703125" bestFit="1" customWidth="1"/>
    <col min="10248" max="10248" width="8.7109375" customWidth="1"/>
    <col min="10249" max="10249" width="12.42578125" bestFit="1" customWidth="1"/>
    <col min="10250" max="10250" width="10.28515625" customWidth="1"/>
    <col min="10251" max="10251" width="15.7109375" customWidth="1"/>
    <col min="10497" max="10497" width="51.7109375" customWidth="1"/>
    <col min="10498" max="10498" width="12.28515625" customWidth="1"/>
    <col min="10499" max="10499" width="11.7109375" customWidth="1"/>
    <col min="10500" max="10500" width="9.28515625" customWidth="1"/>
    <col min="10501" max="10502" width="10" customWidth="1"/>
    <col min="10503" max="10503" width="11.5703125" bestFit="1" customWidth="1"/>
    <col min="10504" max="10504" width="8.7109375" customWidth="1"/>
    <col min="10505" max="10505" width="12.42578125" bestFit="1" customWidth="1"/>
    <col min="10506" max="10506" width="10.28515625" customWidth="1"/>
    <col min="10507" max="10507" width="15.7109375" customWidth="1"/>
    <col min="10753" max="10753" width="51.7109375" customWidth="1"/>
    <col min="10754" max="10754" width="12.28515625" customWidth="1"/>
    <col min="10755" max="10755" width="11.7109375" customWidth="1"/>
    <col min="10756" max="10756" width="9.28515625" customWidth="1"/>
    <col min="10757" max="10758" width="10" customWidth="1"/>
    <col min="10759" max="10759" width="11.5703125" bestFit="1" customWidth="1"/>
    <col min="10760" max="10760" width="8.7109375" customWidth="1"/>
    <col min="10761" max="10761" width="12.42578125" bestFit="1" customWidth="1"/>
    <col min="10762" max="10762" width="10.28515625" customWidth="1"/>
    <col min="10763" max="10763" width="15.7109375" customWidth="1"/>
    <col min="11009" max="11009" width="51.7109375" customWidth="1"/>
    <col min="11010" max="11010" width="12.28515625" customWidth="1"/>
    <col min="11011" max="11011" width="11.7109375" customWidth="1"/>
    <col min="11012" max="11012" width="9.28515625" customWidth="1"/>
    <col min="11013" max="11014" width="10" customWidth="1"/>
    <col min="11015" max="11015" width="11.5703125" bestFit="1" customWidth="1"/>
    <col min="11016" max="11016" width="8.7109375" customWidth="1"/>
    <col min="11017" max="11017" width="12.42578125" bestFit="1" customWidth="1"/>
    <col min="11018" max="11018" width="10.28515625" customWidth="1"/>
    <col min="11019" max="11019" width="15.7109375" customWidth="1"/>
    <col min="11265" max="11265" width="51.7109375" customWidth="1"/>
    <col min="11266" max="11266" width="12.28515625" customWidth="1"/>
    <col min="11267" max="11267" width="11.7109375" customWidth="1"/>
    <col min="11268" max="11268" width="9.28515625" customWidth="1"/>
    <col min="11269" max="11270" width="10" customWidth="1"/>
    <col min="11271" max="11271" width="11.5703125" bestFit="1" customWidth="1"/>
    <col min="11272" max="11272" width="8.7109375" customWidth="1"/>
    <col min="11273" max="11273" width="12.42578125" bestFit="1" customWidth="1"/>
    <col min="11274" max="11274" width="10.28515625" customWidth="1"/>
    <col min="11275" max="11275" width="15.7109375" customWidth="1"/>
    <col min="11521" max="11521" width="51.7109375" customWidth="1"/>
    <col min="11522" max="11522" width="12.28515625" customWidth="1"/>
    <col min="11523" max="11523" width="11.7109375" customWidth="1"/>
    <col min="11524" max="11524" width="9.28515625" customWidth="1"/>
    <col min="11525" max="11526" width="10" customWidth="1"/>
    <col min="11527" max="11527" width="11.5703125" bestFit="1" customWidth="1"/>
    <col min="11528" max="11528" width="8.7109375" customWidth="1"/>
    <col min="11529" max="11529" width="12.42578125" bestFit="1" customWidth="1"/>
    <col min="11530" max="11530" width="10.28515625" customWidth="1"/>
    <col min="11531" max="11531" width="15.7109375" customWidth="1"/>
    <col min="11777" max="11777" width="51.7109375" customWidth="1"/>
    <col min="11778" max="11778" width="12.28515625" customWidth="1"/>
    <col min="11779" max="11779" width="11.7109375" customWidth="1"/>
    <col min="11780" max="11780" width="9.28515625" customWidth="1"/>
    <col min="11781" max="11782" width="10" customWidth="1"/>
    <col min="11783" max="11783" width="11.5703125" bestFit="1" customWidth="1"/>
    <col min="11784" max="11784" width="8.7109375" customWidth="1"/>
    <col min="11785" max="11785" width="12.42578125" bestFit="1" customWidth="1"/>
    <col min="11786" max="11786" width="10.28515625" customWidth="1"/>
    <col min="11787" max="11787" width="15.7109375" customWidth="1"/>
    <col min="12033" max="12033" width="51.7109375" customWidth="1"/>
    <col min="12034" max="12034" width="12.28515625" customWidth="1"/>
    <col min="12035" max="12035" width="11.7109375" customWidth="1"/>
    <col min="12036" max="12036" width="9.28515625" customWidth="1"/>
    <col min="12037" max="12038" width="10" customWidth="1"/>
    <col min="12039" max="12039" width="11.5703125" bestFit="1" customWidth="1"/>
    <col min="12040" max="12040" width="8.7109375" customWidth="1"/>
    <col min="12041" max="12041" width="12.42578125" bestFit="1" customWidth="1"/>
    <col min="12042" max="12042" width="10.28515625" customWidth="1"/>
    <col min="12043" max="12043" width="15.7109375" customWidth="1"/>
    <col min="12289" max="12289" width="51.7109375" customWidth="1"/>
    <col min="12290" max="12290" width="12.28515625" customWidth="1"/>
    <col min="12291" max="12291" width="11.7109375" customWidth="1"/>
    <col min="12292" max="12292" width="9.28515625" customWidth="1"/>
    <col min="12293" max="12294" width="10" customWidth="1"/>
    <col min="12295" max="12295" width="11.5703125" bestFit="1" customWidth="1"/>
    <col min="12296" max="12296" width="8.7109375" customWidth="1"/>
    <col min="12297" max="12297" width="12.42578125" bestFit="1" customWidth="1"/>
    <col min="12298" max="12298" width="10.28515625" customWidth="1"/>
    <col min="12299" max="12299" width="15.7109375" customWidth="1"/>
    <col min="12545" max="12545" width="51.7109375" customWidth="1"/>
    <col min="12546" max="12546" width="12.28515625" customWidth="1"/>
    <col min="12547" max="12547" width="11.7109375" customWidth="1"/>
    <col min="12548" max="12548" width="9.28515625" customWidth="1"/>
    <col min="12549" max="12550" width="10" customWidth="1"/>
    <col min="12551" max="12551" width="11.5703125" bestFit="1" customWidth="1"/>
    <col min="12552" max="12552" width="8.7109375" customWidth="1"/>
    <col min="12553" max="12553" width="12.42578125" bestFit="1" customWidth="1"/>
    <col min="12554" max="12554" width="10.28515625" customWidth="1"/>
    <col min="12555" max="12555" width="15.7109375" customWidth="1"/>
    <col min="12801" max="12801" width="51.7109375" customWidth="1"/>
    <col min="12802" max="12802" width="12.28515625" customWidth="1"/>
    <col min="12803" max="12803" width="11.7109375" customWidth="1"/>
    <col min="12804" max="12804" width="9.28515625" customWidth="1"/>
    <col min="12805" max="12806" width="10" customWidth="1"/>
    <col min="12807" max="12807" width="11.5703125" bestFit="1" customWidth="1"/>
    <col min="12808" max="12808" width="8.7109375" customWidth="1"/>
    <col min="12809" max="12809" width="12.42578125" bestFit="1" customWidth="1"/>
    <col min="12810" max="12810" width="10.28515625" customWidth="1"/>
    <col min="12811" max="12811" width="15.7109375" customWidth="1"/>
    <col min="13057" max="13057" width="51.7109375" customWidth="1"/>
    <col min="13058" max="13058" width="12.28515625" customWidth="1"/>
    <col min="13059" max="13059" width="11.7109375" customWidth="1"/>
    <col min="13060" max="13060" width="9.28515625" customWidth="1"/>
    <col min="13061" max="13062" width="10" customWidth="1"/>
    <col min="13063" max="13063" width="11.5703125" bestFit="1" customWidth="1"/>
    <col min="13064" max="13064" width="8.7109375" customWidth="1"/>
    <col min="13065" max="13065" width="12.42578125" bestFit="1" customWidth="1"/>
    <col min="13066" max="13066" width="10.28515625" customWidth="1"/>
    <col min="13067" max="13067" width="15.7109375" customWidth="1"/>
    <col min="13313" max="13313" width="51.7109375" customWidth="1"/>
    <col min="13314" max="13314" width="12.28515625" customWidth="1"/>
    <col min="13315" max="13315" width="11.7109375" customWidth="1"/>
    <col min="13316" max="13316" width="9.28515625" customWidth="1"/>
    <col min="13317" max="13318" width="10" customWidth="1"/>
    <col min="13319" max="13319" width="11.5703125" bestFit="1" customWidth="1"/>
    <col min="13320" max="13320" width="8.7109375" customWidth="1"/>
    <col min="13321" max="13321" width="12.42578125" bestFit="1" customWidth="1"/>
    <col min="13322" max="13322" width="10.28515625" customWidth="1"/>
    <col min="13323" max="13323" width="15.7109375" customWidth="1"/>
    <col min="13569" max="13569" width="51.7109375" customWidth="1"/>
    <col min="13570" max="13570" width="12.28515625" customWidth="1"/>
    <col min="13571" max="13571" width="11.7109375" customWidth="1"/>
    <col min="13572" max="13572" width="9.28515625" customWidth="1"/>
    <col min="13573" max="13574" width="10" customWidth="1"/>
    <col min="13575" max="13575" width="11.5703125" bestFit="1" customWidth="1"/>
    <col min="13576" max="13576" width="8.7109375" customWidth="1"/>
    <col min="13577" max="13577" width="12.42578125" bestFit="1" customWidth="1"/>
    <col min="13578" max="13578" width="10.28515625" customWidth="1"/>
    <col min="13579" max="13579" width="15.7109375" customWidth="1"/>
    <col min="13825" max="13825" width="51.7109375" customWidth="1"/>
    <col min="13826" max="13826" width="12.28515625" customWidth="1"/>
    <col min="13827" max="13827" width="11.7109375" customWidth="1"/>
    <col min="13828" max="13828" width="9.28515625" customWidth="1"/>
    <col min="13829" max="13830" width="10" customWidth="1"/>
    <col min="13831" max="13831" width="11.5703125" bestFit="1" customWidth="1"/>
    <col min="13832" max="13832" width="8.7109375" customWidth="1"/>
    <col min="13833" max="13833" width="12.42578125" bestFit="1" customWidth="1"/>
    <col min="13834" max="13834" width="10.28515625" customWidth="1"/>
    <col min="13835" max="13835" width="15.7109375" customWidth="1"/>
    <col min="14081" max="14081" width="51.7109375" customWidth="1"/>
    <col min="14082" max="14082" width="12.28515625" customWidth="1"/>
    <col min="14083" max="14083" width="11.7109375" customWidth="1"/>
    <col min="14084" max="14084" width="9.28515625" customWidth="1"/>
    <col min="14085" max="14086" width="10" customWidth="1"/>
    <col min="14087" max="14087" width="11.5703125" bestFit="1" customWidth="1"/>
    <col min="14088" max="14088" width="8.7109375" customWidth="1"/>
    <col min="14089" max="14089" width="12.42578125" bestFit="1" customWidth="1"/>
    <col min="14090" max="14090" width="10.28515625" customWidth="1"/>
    <col min="14091" max="14091" width="15.7109375" customWidth="1"/>
    <col min="14337" max="14337" width="51.7109375" customWidth="1"/>
    <col min="14338" max="14338" width="12.28515625" customWidth="1"/>
    <col min="14339" max="14339" width="11.7109375" customWidth="1"/>
    <col min="14340" max="14340" width="9.28515625" customWidth="1"/>
    <col min="14341" max="14342" width="10" customWidth="1"/>
    <col min="14343" max="14343" width="11.5703125" bestFit="1" customWidth="1"/>
    <col min="14344" max="14344" width="8.7109375" customWidth="1"/>
    <col min="14345" max="14345" width="12.42578125" bestFit="1" customWidth="1"/>
    <col min="14346" max="14346" width="10.28515625" customWidth="1"/>
    <col min="14347" max="14347" width="15.7109375" customWidth="1"/>
    <col min="14593" max="14593" width="51.7109375" customWidth="1"/>
    <col min="14594" max="14594" width="12.28515625" customWidth="1"/>
    <col min="14595" max="14595" width="11.7109375" customWidth="1"/>
    <col min="14596" max="14596" width="9.28515625" customWidth="1"/>
    <col min="14597" max="14598" width="10" customWidth="1"/>
    <col min="14599" max="14599" width="11.5703125" bestFit="1" customWidth="1"/>
    <col min="14600" max="14600" width="8.7109375" customWidth="1"/>
    <col min="14601" max="14601" width="12.42578125" bestFit="1" customWidth="1"/>
    <col min="14602" max="14602" width="10.28515625" customWidth="1"/>
    <col min="14603" max="14603" width="15.7109375" customWidth="1"/>
    <col min="14849" max="14849" width="51.7109375" customWidth="1"/>
    <col min="14850" max="14850" width="12.28515625" customWidth="1"/>
    <col min="14851" max="14851" width="11.7109375" customWidth="1"/>
    <col min="14852" max="14852" width="9.28515625" customWidth="1"/>
    <col min="14853" max="14854" width="10" customWidth="1"/>
    <col min="14855" max="14855" width="11.5703125" bestFit="1" customWidth="1"/>
    <col min="14856" max="14856" width="8.7109375" customWidth="1"/>
    <col min="14857" max="14857" width="12.42578125" bestFit="1" customWidth="1"/>
    <col min="14858" max="14858" width="10.28515625" customWidth="1"/>
    <col min="14859" max="14859" width="15.7109375" customWidth="1"/>
    <col min="15105" max="15105" width="51.7109375" customWidth="1"/>
    <col min="15106" max="15106" width="12.28515625" customWidth="1"/>
    <col min="15107" max="15107" width="11.7109375" customWidth="1"/>
    <col min="15108" max="15108" width="9.28515625" customWidth="1"/>
    <col min="15109" max="15110" width="10" customWidth="1"/>
    <col min="15111" max="15111" width="11.5703125" bestFit="1" customWidth="1"/>
    <col min="15112" max="15112" width="8.7109375" customWidth="1"/>
    <col min="15113" max="15113" width="12.42578125" bestFit="1" customWidth="1"/>
    <col min="15114" max="15114" width="10.28515625" customWidth="1"/>
    <col min="15115" max="15115" width="15.7109375" customWidth="1"/>
    <col min="15361" max="15361" width="51.7109375" customWidth="1"/>
    <col min="15362" max="15362" width="12.28515625" customWidth="1"/>
    <col min="15363" max="15363" width="11.7109375" customWidth="1"/>
    <col min="15364" max="15364" width="9.28515625" customWidth="1"/>
    <col min="15365" max="15366" width="10" customWidth="1"/>
    <col min="15367" max="15367" width="11.5703125" bestFit="1" customWidth="1"/>
    <col min="15368" max="15368" width="8.7109375" customWidth="1"/>
    <col min="15369" max="15369" width="12.42578125" bestFit="1" customWidth="1"/>
    <col min="15370" max="15370" width="10.28515625" customWidth="1"/>
    <col min="15371" max="15371" width="15.7109375" customWidth="1"/>
    <col min="15617" max="15617" width="51.7109375" customWidth="1"/>
    <col min="15618" max="15618" width="12.28515625" customWidth="1"/>
    <col min="15619" max="15619" width="11.7109375" customWidth="1"/>
    <col min="15620" max="15620" width="9.28515625" customWidth="1"/>
    <col min="15621" max="15622" width="10" customWidth="1"/>
    <col min="15623" max="15623" width="11.5703125" bestFit="1" customWidth="1"/>
    <col min="15624" max="15624" width="8.7109375" customWidth="1"/>
    <col min="15625" max="15625" width="12.42578125" bestFit="1" customWidth="1"/>
    <col min="15626" max="15626" width="10.28515625" customWidth="1"/>
    <col min="15627" max="15627" width="15.7109375" customWidth="1"/>
    <col min="15873" max="15873" width="51.7109375" customWidth="1"/>
    <col min="15874" max="15874" width="12.28515625" customWidth="1"/>
    <col min="15875" max="15875" width="11.7109375" customWidth="1"/>
    <col min="15876" max="15876" width="9.28515625" customWidth="1"/>
    <col min="15877" max="15878" width="10" customWidth="1"/>
    <col min="15879" max="15879" width="11.5703125" bestFit="1" customWidth="1"/>
    <col min="15880" max="15880" width="8.7109375" customWidth="1"/>
    <col min="15881" max="15881" width="12.42578125" bestFit="1" customWidth="1"/>
    <col min="15882" max="15882" width="10.28515625" customWidth="1"/>
    <col min="15883" max="15883" width="15.7109375" customWidth="1"/>
    <col min="16129" max="16129" width="51.7109375" customWidth="1"/>
    <col min="16130" max="16130" width="12.28515625" customWidth="1"/>
    <col min="16131" max="16131" width="11.7109375" customWidth="1"/>
    <col min="16132" max="16132" width="9.28515625" customWidth="1"/>
    <col min="16133" max="16134" width="10" customWidth="1"/>
    <col min="16135" max="16135" width="11.5703125" bestFit="1" customWidth="1"/>
    <col min="16136" max="16136" width="8.7109375" customWidth="1"/>
    <col min="16137" max="16137" width="12.42578125" bestFit="1" customWidth="1"/>
    <col min="16138" max="16138" width="10.28515625" customWidth="1"/>
    <col min="16139" max="16139" width="15.7109375" customWidth="1"/>
  </cols>
  <sheetData>
    <row r="1" spans="1:12" s="177" customFormat="1" ht="8.25" customHeight="1"/>
    <row r="2" spans="1:12" s="177" customFormat="1">
      <c r="A2" s="247" t="s">
        <v>235</v>
      </c>
      <c r="B2" s="179"/>
      <c r="C2" s="179"/>
      <c r="D2" s="179"/>
      <c r="E2" s="179"/>
      <c r="F2" s="179"/>
      <c r="G2" s="179"/>
      <c r="H2" s="179"/>
      <c r="I2" s="179"/>
      <c r="J2" s="179"/>
    </row>
    <row r="3" spans="1:12" s="177" customFormat="1">
      <c r="A3" s="646" t="s">
        <v>2138</v>
      </c>
      <c r="B3" s="179"/>
      <c r="C3" s="179"/>
      <c r="D3" s="179"/>
      <c r="E3" s="179"/>
      <c r="F3" s="179"/>
      <c r="G3" s="179"/>
      <c r="H3" s="179"/>
      <c r="I3" s="179"/>
      <c r="J3" s="179"/>
      <c r="K3" s="179"/>
    </row>
    <row r="4" spans="1:12" s="177" customFormat="1" ht="15.75">
      <c r="A4" s="247" t="s">
        <v>2139</v>
      </c>
      <c r="B4" s="179"/>
      <c r="C4" s="179"/>
      <c r="D4" s="179"/>
      <c r="E4" s="179"/>
      <c r="F4" s="179"/>
      <c r="G4" s="179"/>
      <c r="H4" s="179"/>
      <c r="I4" s="179"/>
      <c r="J4" s="179"/>
      <c r="K4" s="179"/>
    </row>
    <row r="5" spans="1:12" s="177" customFormat="1" ht="0.75" customHeight="1"/>
    <row r="6" spans="1:12" s="1094" customFormat="1" ht="10.5" customHeight="1">
      <c r="A6" s="1092" t="s">
        <v>228</v>
      </c>
      <c r="B6" s="1092" t="s">
        <v>227</v>
      </c>
      <c r="C6" s="1092" t="s">
        <v>227</v>
      </c>
      <c r="D6" s="1092"/>
      <c r="E6" s="1093" t="s">
        <v>225</v>
      </c>
      <c r="F6" s="1093"/>
      <c r="G6" s="1092" t="s">
        <v>224</v>
      </c>
      <c r="H6" s="1488" t="s">
        <v>223</v>
      </c>
      <c r="I6" s="1488"/>
      <c r="J6" s="1092" t="s">
        <v>222</v>
      </c>
      <c r="K6" s="1092" t="s">
        <v>221</v>
      </c>
    </row>
    <row r="7" spans="1:12" s="186" customFormat="1" ht="15" customHeight="1">
      <c r="A7" s="1467" t="s">
        <v>220</v>
      </c>
      <c r="B7" s="1465" t="s">
        <v>219</v>
      </c>
      <c r="C7" s="1465" t="s">
        <v>218</v>
      </c>
      <c r="D7" s="1489" t="s">
        <v>217</v>
      </c>
      <c r="E7" s="1490" t="s">
        <v>216</v>
      </c>
      <c r="F7" s="1491"/>
      <c r="G7" s="1465" t="s">
        <v>215</v>
      </c>
      <c r="H7" s="1490" t="s">
        <v>214</v>
      </c>
      <c r="I7" s="1491"/>
      <c r="J7" s="1465" t="s">
        <v>240</v>
      </c>
      <c r="K7" s="1483" t="s">
        <v>212</v>
      </c>
    </row>
    <row r="8" spans="1:12" s="186" customFormat="1">
      <c r="A8" s="1467"/>
      <c r="B8" s="1465"/>
      <c r="C8" s="1465"/>
      <c r="D8" s="1489"/>
      <c r="E8" s="1095" t="s">
        <v>211</v>
      </c>
      <c r="F8" s="1095" t="s">
        <v>210</v>
      </c>
      <c r="G8" s="1465"/>
      <c r="H8" s="1095" t="s">
        <v>211</v>
      </c>
      <c r="I8" s="1095" t="s">
        <v>210</v>
      </c>
      <c r="J8" s="1465"/>
      <c r="K8" s="1483"/>
    </row>
    <row r="9" spans="1:12" ht="28.5" customHeight="1">
      <c r="A9" s="713" t="s">
        <v>1558</v>
      </c>
      <c r="B9" s="714"/>
      <c r="C9" s="714"/>
      <c r="D9" s="714"/>
      <c r="E9" s="714"/>
      <c r="F9" s="714"/>
      <c r="G9" s="714"/>
      <c r="H9" s="714"/>
      <c r="I9" s="714"/>
      <c r="J9" s="1096" t="s">
        <v>2140</v>
      </c>
      <c r="K9" s="714"/>
    </row>
    <row r="10" spans="1:12" ht="9" customHeight="1">
      <c r="A10" s="256"/>
      <c r="B10" s="193"/>
      <c r="C10" s="193"/>
      <c r="D10" s="193"/>
      <c r="E10" s="193"/>
      <c r="F10" s="193"/>
      <c r="G10" s="193"/>
      <c r="H10" s="193"/>
      <c r="I10" s="193"/>
      <c r="J10" s="263"/>
      <c r="K10" s="193"/>
    </row>
    <row r="11" spans="1:12" ht="27.75" customHeight="1">
      <c r="A11" s="713" t="s">
        <v>1559</v>
      </c>
      <c r="B11" s="1097"/>
      <c r="C11" s="714"/>
      <c r="D11" s="714"/>
      <c r="E11" s="714"/>
      <c r="F11" s="714"/>
      <c r="G11" s="714"/>
      <c r="H11" s="714"/>
      <c r="I11" s="714"/>
      <c r="J11" s="1096" t="str">
        <f>+J9</f>
        <v xml:space="preserve">Ord. Anual Imp.    Nº 028/21 </v>
      </c>
      <c r="K11" s="714"/>
    </row>
    <row r="12" spans="1:12" ht="33" customHeight="1">
      <c r="A12" s="1098" t="s">
        <v>2141</v>
      </c>
      <c r="B12" s="1099" t="s">
        <v>2142</v>
      </c>
      <c r="C12" s="563" t="s">
        <v>109</v>
      </c>
      <c r="D12" s="1100">
        <v>1.4999999999999999E-2</v>
      </c>
      <c r="E12" s="1100">
        <v>0.01</v>
      </c>
      <c r="F12" s="1100">
        <v>0.04</v>
      </c>
      <c r="G12" s="960"/>
      <c r="H12" s="294"/>
      <c r="J12" s="960"/>
      <c r="K12" s="1484">
        <v>4492379.0999999996</v>
      </c>
    </row>
    <row r="13" spans="1:12" s="399" customFormat="1" ht="15.95" customHeight="1">
      <c r="A13" s="1101" t="s">
        <v>2143</v>
      </c>
      <c r="B13" s="1099" t="s">
        <v>2144</v>
      </c>
      <c r="C13" s="979" t="s">
        <v>283</v>
      </c>
      <c r="D13" s="1100"/>
      <c r="E13" s="960"/>
      <c r="F13" s="960"/>
      <c r="G13" s="960"/>
      <c r="H13" s="1102">
        <v>200</v>
      </c>
      <c r="I13" s="1102">
        <v>300</v>
      </c>
      <c r="J13" s="979"/>
      <c r="K13" s="1485"/>
      <c r="L13" s="1103"/>
    </row>
    <row r="14" spans="1:12" ht="15.95" customHeight="1">
      <c r="A14" s="1104" t="s">
        <v>347</v>
      </c>
      <c r="B14" s="1099" t="s">
        <v>2145</v>
      </c>
      <c r="C14" s="1063" t="s">
        <v>205</v>
      </c>
      <c r="D14" s="1063"/>
      <c r="E14" s="1105"/>
      <c r="F14" s="1105"/>
      <c r="G14" s="1106"/>
      <c r="H14" s="1107">
        <v>6.4000000000000003E-3</v>
      </c>
      <c r="I14" s="1107">
        <v>7.0000000000000001E-3</v>
      </c>
      <c r="K14" s="1105">
        <v>1283756</v>
      </c>
    </row>
    <row r="15" spans="1:12" ht="27.75" customHeight="1">
      <c r="A15" s="1098" t="s">
        <v>2146</v>
      </c>
      <c r="B15" s="1108" t="s">
        <v>2147</v>
      </c>
      <c r="C15" s="979" t="s">
        <v>109</v>
      </c>
      <c r="D15" s="1100">
        <v>0.16</v>
      </c>
      <c r="E15" s="979"/>
      <c r="F15" s="979"/>
      <c r="G15" s="294"/>
      <c r="H15" s="979"/>
      <c r="I15" s="979"/>
      <c r="J15" s="979"/>
      <c r="K15" s="1109">
        <v>1513409.25</v>
      </c>
      <c r="L15" s="1103"/>
    </row>
    <row r="16" spans="1:12" ht="27.75" customHeight="1">
      <c r="A16" s="1098" t="s">
        <v>2148</v>
      </c>
      <c r="B16" s="1108" t="s">
        <v>2149</v>
      </c>
      <c r="C16" s="979" t="s">
        <v>283</v>
      </c>
      <c r="D16" s="1100"/>
      <c r="E16" s="979"/>
      <c r="F16" s="979"/>
      <c r="G16" s="1102">
        <v>190000</v>
      </c>
      <c r="H16" s="1102"/>
      <c r="I16" s="1102"/>
      <c r="J16" s="979"/>
      <c r="K16" s="1109">
        <v>570000</v>
      </c>
      <c r="L16" s="1103"/>
    </row>
    <row r="17" spans="1:12" ht="27.75" customHeight="1">
      <c r="A17" s="1098" t="s">
        <v>2150</v>
      </c>
      <c r="B17" s="1108" t="s">
        <v>2151</v>
      </c>
      <c r="C17" s="979" t="s">
        <v>283</v>
      </c>
      <c r="D17" s="1100"/>
      <c r="E17" s="979"/>
      <c r="F17" s="979"/>
      <c r="G17" s="294"/>
      <c r="H17" s="1102">
        <v>0.7</v>
      </c>
      <c r="I17" s="1102">
        <v>140</v>
      </c>
      <c r="J17" s="979"/>
      <c r="K17" s="1109">
        <v>0</v>
      </c>
      <c r="L17" s="1103"/>
    </row>
    <row r="18" spans="1:12" ht="60">
      <c r="A18" s="968" t="s">
        <v>1567</v>
      </c>
      <c r="B18" s="1110"/>
      <c r="C18" s="730"/>
      <c r="D18" s="730"/>
      <c r="E18" s="730"/>
      <c r="F18" s="730"/>
      <c r="G18" s="730"/>
      <c r="H18" s="730"/>
      <c r="I18" s="730"/>
      <c r="J18" s="1111" t="str">
        <f>+J9</f>
        <v xml:space="preserve">Ord. Anual Imp.    Nº 028/21 </v>
      </c>
      <c r="K18" s="730"/>
      <c r="L18" s="1103"/>
    </row>
    <row r="19" spans="1:12" ht="15.75">
      <c r="A19" s="1101" t="s">
        <v>2152</v>
      </c>
      <c r="B19" s="1112" t="s">
        <v>2153</v>
      </c>
      <c r="C19" s="979" t="s">
        <v>2154</v>
      </c>
      <c r="D19" s="1100"/>
      <c r="E19" s="979"/>
      <c r="F19" s="979"/>
      <c r="G19" s="979"/>
      <c r="H19" s="979"/>
      <c r="I19" s="979"/>
      <c r="J19" s="979"/>
      <c r="K19" s="1109">
        <v>167311.62</v>
      </c>
      <c r="L19" s="1103"/>
    </row>
    <row r="20" spans="1:12" ht="8.25" customHeight="1">
      <c r="A20" s="566"/>
      <c r="B20" s="1112"/>
      <c r="C20" s="979"/>
      <c r="D20" s="979"/>
      <c r="E20" s="979"/>
      <c r="F20" s="979"/>
      <c r="G20" s="979"/>
      <c r="H20" s="979"/>
      <c r="I20" s="979"/>
      <c r="J20" s="979"/>
      <c r="K20" s="979"/>
      <c r="L20" s="1103"/>
    </row>
    <row r="21" spans="1:12" ht="60">
      <c r="A21" s="713" t="s">
        <v>1568</v>
      </c>
      <c r="B21" s="1110"/>
      <c r="C21" s="730"/>
      <c r="D21" s="730"/>
      <c r="E21" s="730"/>
      <c r="F21" s="730"/>
      <c r="G21" s="730"/>
      <c r="H21" s="730"/>
      <c r="I21" s="730"/>
      <c r="J21" s="1111" t="str">
        <f>+J9</f>
        <v xml:space="preserve">Ord. Anual Imp.    Nº 028/21 </v>
      </c>
      <c r="K21" s="730"/>
      <c r="L21" s="1103"/>
    </row>
    <row r="22" spans="1:12" ht="15.75">
      <c r="A22" s="1113" t="s">
        <v>172</v>
      </c>
      <c r="B22" s="294" t="s">
        <v>2155</v>
      </c>
      <c r="C22" s="979" t="s">
        <v>2156</v>
      </c>
      <c r="D22" s="960"/>
      <c r="E22" s="979"/>
      <c r="F22" s="979"/>
      <c r="G22" s="1114"/>
      <c r="H22" s="1114">
        <v>100</v>
      </c>
      <c r="I22" s="1114">
        <v>120000</v>
      </c>
      <c r="J22" s="979"/>
      <c r="K22" s="1109">
        <v>439640.28</v>
      </c>
      <c r="L22" s="1103"/>
    </row>
    <row r="23" spans="1:12" ht="15.75">
      <c r="A23" s="1115" t="s">
        <v>435</v>
      </c>
      <c r="B23" s="1112"/>
      <c r="C23" s="979"/>
      <c r="D23" s="960"/>
      <c r="E23" s="979"/>
      <c r="F23" s="979"/>
      <c r="G23" s="1114"/>
      <c r="H23" s="1116">
        <v>5.0000000000000001E-3</v>
      </c>
      <c r="I23" s="1117">
        <v>0.01</v>
      </c>
      <c r="J23" s="979"/>
      <c r="K23" s="1109">
        <v>4645.32</v>
      </c>
      <c r="L23" s="1103"/>
    </row>
    <row r="24" spans="1:12" s="732" customFormat="1" ht="15.95" customHeight="1">
      <c r="A24" s="1118" t="s">
        <v>165</v>
      </c>
      <c r="B24" s="1112" t="s">
        <v>888</v>
      </c>
      <c r="C24" s="979"/>
      <c r="D24" s="979"/>
      <c r="E24" s="979"/>
      <c r="F24" s="979"/>
      <c r="G24" s="979"/>
      <c r="H24" s="1114">
        <v>750</v>
      </c>
      <c r="I24" s="1114">
        <v>24500</v>
      </c>
      <c r="J24" s="960"/>
      <c r="K24" s="1109">
        <v>253780</v>
      </c>
    </row>
    <row r="25" spans="1:12" ht="15.75" customHeight="1">
      <c r="A25" s="1113" t="s">
        <v>155</v>
      </c>
      <c r="B25" s="1112" t="s">
        <v>2157</v>
      </c>
      <c r="C25" s="979" t="s">
        <v>468</v>
      </c>
      <c r="D25" s="979"/>
      <c r="E25" s="979"/>
      <c r="F25" s="979"/>
      <c r="G25" s="979"/>
      <c r="H25" s="1114">
        <v>280</v>
      </c>
      <c r="I25" s="1114">
        <v>1120</v>
      </c>
      <c r="J25" s="979"/>
      <c r="K25" s="1486">
        <v>44720</v>
      </c>
      <c r="L25" s="1103"/>
    </row>
    <row r="26" spans="1:12" ht="15.75" customHeight="1">
      <c r="A26" s="1113" t="s">
        <v>2158</v>
      </c>
      <c r="B26" s="1112" t="s">
        <v>2159</v>
      </c>
      <c r="C26" s="979" t="s">
        <v>468</v>
      </c>
      <c r="D26" s="979"/>
      <c r="E26" s="979"/>
      <c r="F26" s="979"/>
      <c r="G26" s="979"/>
      <c r="H26" s="1114">
        <v>560</v>
      </c>
      <c r="I26" s="1114">
        <v>1120</v>
      </c>
      <c r="J26" s="979"/>
      <c r="K26" s="1487"/>
      <c r="L26" s="1103"/>
    </row>
    <row r="27" spans="1:12" ht="15.95" customHeight="1">
      <c r="A27" s="1119" t="s">
        <v>158</v>
      </c>
      <c r="B27" s="1112" t="s">
        <v>888</v>
      </c>
      <c r="C27" s="979"/>
      <c r="D27" s="976"/>
      <c r="E27" s="960"/>
      <c r="F27" s="960"/>
      <c r="G27" s="1114"/>
      <c r="H27" s="1114">
        <v>130</v>
      </c>
      <c r="I27" s="1114">
        <v>880</v>
      </c>
      <c r="J27" s="979"/>
      <c r="K27" s="1109">
        <v>600</v>
      </c>
      <c r="L27" s="1103"/>
    </row>
    <row r="28" spans="1:12" ht="60">
      <c r="A28" s="713" t="s">
        <v>1574</v>
      </c>
      <c r="B28" s="1097"/>
      <c r="C28" s="714"/>
      <c r="D28" s="714"/>
      <c r="E28" s="714"/>
      <c r="F28" s="714"/>
      <c r="G28" s="714"/>
      <c r="H28" s="714"/>
      <c r="I28" s="714"/>
      <c r="J28" s="1111" t="str">
        <f>+J9</f>
        <v xml:space="preserve">Ord. Anual Imp.    Nº 028/21 </v>
      </c>
      <c r="K28" s="714"/>
      <c r="L28" s="1103"/>
    </row>
    <row r="29" spans="1:12" ht="15.75">
      <c r="A29" s="1115" t="s">
        <v>2160</v>
      </c>
      <c r="B29" s="1099" t="s">
        <v>109</v>
      </c>
      <c r="C29" s="979" t="s">
        <v>2161</v>
      </c>
      <c r="D29" s="960"/>
      <c r="E29" s="960"/>
      <c r="F29" s="960"/>
      <c r="G29" s="1114"/>
      <c r="H29" s="979"/>
      <c r="I29" s="979"/>
      <c r="J29" s="979"/>
      <c r="K29" s="1109">
        <v>327958</v>
      </c>
      <c r="L29" s="1103"/>
    </row>
    <row r="30" spans="1:12" ht="15.75">
      <c r="A30" s="1118" t="s">
        <v>436</v>
      </c>
      <c r="B30" s="1099" t="s">
        <v>2162</v>
      </c>
      <c r="C30" s="979" t="s">
        <v>2163</v>
      </c>
      <c r="D30" s="960"/>
      <c r="E30" s="960"/>
      <c r="F30" s="960"/>
      <c r="G30" s="1114"/>
      <c r="H30" s="1114">
        <v>310</v>
      </c>
      <c r="I30" s="1114">
        <v>520</v>
      </c>
      <c r="J30" s="979"/>
      <c r="K30" s="1109">
        <v>498520.19</v>
      </c>
      <c r="L30" s="1103"/>
    </row>
    <row r="31" spans="1:12" ht="15.75">
      <c r="A31" s="1118" t="s">
        <v>2164</v>
      </c>
      <c r="B31" s="1120" t="s">
        <v>2165</v>
      </c>
      <c r="C31" s="1120" t="s">
        <v>2163</v>
      </c>
      <c r="D31" s="960"/>
      <c r="E31" s="960"/>
      <c r="F31" s="960"/>
      <c r="G31" s="960"/>
      <c r="H31" s="1114">
        <v>450</v>
      </c>
      <c r="I31" s="1114">
        <v>20000</v>
      </c>
      <c r="J31" s="1120"/>
      <c r="K31" s="1109">
        <v>82600</v>
      </c>
      <c r="L31" s="1103"/>
    </row>
    <row r="32" spans="1:12" ht="30">
      <c r="A32" s="713" t="s">
        <v>1579</v>
      </c>
      <c r="B32" s="1097"/>
      <c r="C32" s="714"/>
      <c r="D32" s="714"/>
      <c r="E32" s="713"/>
      <c r="F32" s="714"/>
      <c r="G32" s="714"/>
      <c r="H32" s="714"/>
      <c r="I32" s="714"/>
      <c r="J32" s="1111" t="s">
        <v>2166</v>
      </c>
      <c r="K32" s="714"/>
      <c r="L32" s="1103"/>
    </row>
    <row r="33" spans="1:12" ht="23.25" customHeight="1">
      <c r="A33" s="256" t="s">
        <v>2167</v>
      </c>
      <c r="B33" s="1112" t="s">
        <v>888</v>
      </c>
      <c r="D33" s="1121" t="s">
        <v>2168</v>
      </c>
      <c r="E33" s="294"/>
      <c r="F33" s="294"/>
      <c r="G33" s="294"/>
      <c r="H33" s="294"/>
      <c r="I33" s="294"/>
      <c r="J33" s="1122"/>
      <c r="K33" s="1109">
        <v>39937.300000000003</v>
      </c>
      <c r="L33" s="1103"/>
    </row>
    <row r="34" spans="1:12" ht="20.25" customHeight="1">
      <c r="A34" s="730" t="s">
        <v>1580</v>
      </c>
      <c r="B34" s="1123"/>
      <c r="C34" s="731"/>
      <c r="D34" s="731"/>
      <c r="E34" s="713"/>
      <c r="F34" s="714"/>
      <c r="G34" s="714"/>
      <c r="H34" s="714"/>
      <c r="I34" s="714"/>
      <c r="J34" s="1096" t="str">
        <f>+J9</f>
        <v xml:space="preserve">Ord. Anual Imp.    Nº 028/21 </v>
      </c>
      <c r="K34" s="714"/>
      <c r="L34" s="1103"/>
    </row>
    <row r="35" spans="1:12">
      <c r="A35" s="274"/>
      <c r="K35" s="1124"/>
      <c r="L35" s="1103"/>
    </row>
    <row r="36" spans="1:12" ht="60">
      <c r="A36" s="713" t="s">
        <v>1581</v>
      </c>
      <c r="B36" s="1097"/>
      <c r="C36" s="714"/>
      <c r="D36" s="714"/>
      <c r="E36" s="713"/>
      <c r="F36" s="714"/>
      <c r="G36" s="714"/>
      <c r="H36" s="714"/>
      <c r="I36" s="714"/>
      <c r="J36" s="1111" t="str">
        <f>+J9</f>
        <v xml:space="preserve">Ord. Anual Imp.    Nº 028/21 </v>
      </c>
      <c r="K36" s="714"/>
      <c r="L36" s="1103"/>
    </row>
    <row r="37" spans="1:12" ht="15.75">
      <c r="A37" s="1115" t="s">
        <v>2169</v>
      </c>
      <c r="B37" s="341" t="s">
        <v>109</v>
      </c>
      <c r="C37" s="341" t="s">
        <v>2170</v>
      </c>
      <c r="D37" s="294"/>
      <c r="E37" s="294"/>
      <c r="F37" s="294"/>
      <c r="G37" s="294"/>
      <c r="H37" s="979"/>
      <c r="I37" s="979"/>
      <c r="J37" s="979"/>
      <c r="K37" s="1109">
        <v>557219.16</v>
      </c>
    </row>
    <row r="38" spans="1:12" ht="15.75">
      <c r="A38" s="1115" t="s">
        <v>2171</v>
      </c>
      <c r="B38" s="341"/>
      <c r="C38" s="294" t="s">
        <v>2172</v>
      </c>
      <c r="D38" s="294"/>
      <c r="E38" s="294"/>
      <c r="F38" s="294"/>
      <c r="G38" s="294"/>
      <c r="H38" s="979"/>
      <c r="I38" s="979"/>
      <c r="J38" s="979"/>
      <c r="K38" s="1109">
        <v>483263.01</v>
      </c>
    </row>
    <row r="39" spans="1:12" ht="30">
      <c r="A39" s="1098" t="s">
        <v>2173</v>
      </c>
      <c r="B39" s="1099" t="s">
        <v>2174</v>
      </c>
      <c r="C39" s="960" t="s">
        <v>2155</v>
      </c>
      <c r="D39" s="1100">
        <v>0.1</v>
      </c>
      <c r="E39" s="294"/>
      <c r="F39" s="294"/>
      <c r="G39" s="294"/>
      <c r="H39" s="979"/>
      <c r="I39" s="979"/>
      <c r="J39" s="979"/>
      <c r="K39" s="1109">
        <v>606079.22</v>
      </c>
      <c r="L39" s="1103"/>
    </row>
    <row r="40" spans="1:12" ht="15.75">
      <c r="A40" s="1115" t="s">
        <v>2175</v>
      </c>
      <c r="B40" s="341" t="s">
        <v>109</v>
      </c>
      <c r="C40" s="1125" t="s">
        <v>2176</v>
      </c>
      <c r="D40" s="1100">
        <v>0.02</v>
      </c>
      <c r="E40" s="294"/>
      <c r="F40" s="294"/>
      <c r="G40" s="294"/>
      <c r="H40" s="979"/>
      <c r="I40" s="979"/>
      <c r="J40" s="979"/>
      <c r="K40" s="1109">
        <v>336267.86</v>
      </c>
    </row>
    <row r="41" spans="1:12" ht="15.75">
      <c r="A41" s="1118" t="s">
        <v>1089</v>
      </c>
      <c r="B41" s="1126" t="s">
        <v>2177</v>
      </c>
      <c r="C41" s="1127" t="s">
        <v>283</v>
      </c>
      <c r="D41" s="979"/>
      <c r="E41" s="979"/>
      <c r="F41" s="979"/>
      <c r="G41" s="1114"/>
      <c r="H41" s="1114">
        <v>370</v>
      </c>
      <c r="I41" s="1114">
        <v>560</v>
      </c>
      <c r="J41" s="979"/>
      <c r="K41" s="1109">
        <v>6993</v>
      </c>
      <c r="L41" s="1103"/>
    </row>
    <row r="42" spans="1:12" ht="15.75">
      <c r="B42" s="1128"/>
      <c r="C42" s="1128"/>
      <c r="D42" s="1128"/>
      <c r="E42" s="1128"/>
      <c r="F42" s="328"/>
      <c r="G42" s="328"/>
      <c r="H42" s="328"/>
      <c r="I42" s="1129"/>
      <c r="J42" s="1130" t="s">
        <v>2178</v>
      </c>
      <c r="K42" s="1109">
        <f>+K14+K12+K24+K41+K15+K25+K27+K23+K22+K29+K39+K40+K37+K38+K19+K31+K17+K16+K30+K33</f>
        <v>11709079.309999999</v>
      </c>
    </row>
    <row r="43" spans="1:12">
      <c r="A43" s="328"/>
      <c r="B43" s="328"/>
      <c r="C43" s="328"/>
      <c r="D43" s="328"/>
      <c r="E43" s="328"/>
      <c r="F43" s="328"/>
      <c r="G43" s="328"/>
      <c r="H43" s="328"/>
      <c r="K43" s="1131"/>
    </row>
    <row r="44" spans="1:12">
      <c r="K44" s="1132"/>
    </row>
    <row r="46" spans="1:12">
      <c r="B46" t="s">
        <v>2179</v>
      </c>
    </row>
  </sheetData>
  <mergeCells count="12">
    <mergeCell ref="G7:G8"/>
    <mergeCell ref="H7:I7"/>
    <mergeCell ref="A7:A8"/>
    <mergeCell ref="B7:B8"/>
    <mergeCell ref="C7:C8"/>
    <mergeCell ref="D7:D8"/>
    <mergeCell ref="E7:F7"/>
    <mergeCell ref="J7:J8"/>
    <mergeCell ref="K7:K8"/>
    <mergeCell ref="K12:K13"/>
    <mergeCell ref="K25:K26"/>
    <mergeCell ref="H6:I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7"/>
  <dimension ref="A1:O84"/>
  <sheetViews>
    <sheetView showGridLines="0" topLeftCell="A4" workbookViewId="0">
      <pane xSplit="1" ySplit="7" topLeftCell="B11" activePane="bottomRight" state="frozen"/>
      <selection pane="topRight"/>
      <selection pane="bottomLeft"/>
      <selection pane="bottomRight"/>
    </sheetView>
  </sheetViews>
  <sheetFormatPr baseColWidth="10" defaultRowHeight="12"/>
  <cols>
    <col min="1" max="1" width="40" style="1129" customWidth="1"/>
    <col min="2" max="2" width="20" style="1129" customWidth="1"/>
    <col min="3" max="3" width="14" style="1129" customWidth="1"/>
    <col min="4" max="4" width="12" style="1129" customWidth="1"/>
    <col min="5" max="5" width="9.140625" style="1129" customWidth="1"/>
    <col min="6" max="6" width="8.7109375" style="1129" customWidth="1"/>
    <col min="7" max="7" width="9" style="1129" customWidth="1"/>
    <col min="8" max="8" width="8.42578125" style="1129" customWidth="1"/>
    <col min="9" max="9" width="9.140625" style="1129" customWidth="1"/>
    <col min="10" max="10" width="25.85546875" style="1129" customWidth="1"/>
    <col min="11" max="11" width="14.7109375" style="1129" customWidth="1"/>
    <col min="12" max="12" width="1.28515625" style="1129" customWidth="1"/>
    <col min="13" max="13" width="3" style="1129" customWidth="1"/>
    <col min="14" max="16384" width="11.42578125" style="1129"/>
  </cols>
  <sheetData>
    <row r="1" spans="1:14" s="1094" customFormat="1"/>
    <row r="2" spans="1:14" s="1094" customFormat="1">
      <c r="A2" s="1133" t="s">
        <v>235</v>
      </c>
      <c r="B2" s="1134"/>
      <c r="C2" s="1134"/>
      <c r="D2" s="1134"/>
      <c r="E2" s="1134"/>
      <c r="F2" s="1134"/>
      <c r="G2" s="1134"/>
      <c r="H2" s="1134"/>
      <c r="I2" s="1134"/>
      <c r="J2" s="1135"/>
      <c r="K2" s="1136" t="s">
        <v>234</v>
      </c>
    </row>
    <row r="3" spans="1:14" s="1094" customFormat="1">
      <c r="A3" s="1137" t="s">
        <v>2180</v>
      </c>
      <c r="B3" s="1134"/>
      <c r="C3" s="1134"/>
      <c r="D3" s="1134"/>
      <c r="E3" s="1134"/>
      <c r="F3" s="1134"/>
      <c r="G3" s="1134"/>
      <c r="H3" s="1134"/>
      <c r="I3" s="1134"/>
      <c r="J3" s="1135"/>
      <c r="K3" s="1134"/>
    </row>
    <row r="4" spans="1:14" s="1094" customFormat="1">
      <c r="A4" s="1138" t="s">
        <v>2181</v>
      </c>
      <c r="B4" s="1139"/>
      <c r="C4" s="1134" t="s">
        <v>2182</v>
      </c>
      <c r="D4" s="1134" t="s">
        <v>2183</v>
      </c>
      <c r="E4" s="1134"/>
      <c r="F4" s="1134"/>
      <c r="G4" s="1134"/>
      <c r="H4" s="1134"/>
      <c r="I4" s="1134"/>
      <c r="J4" s="1135"/>
      <c r="K4" s="1134"/>
    </row>
    <row r="5" spans="1:14" s="1094" customFormat="1">
      <c r="A5" s="1094" t="s">
        <v>2184</v>
      </c>
    </row>
    <row r="6" spans="1:14" s="1094" customFormat="1">
      <c r="A6" s="1094" t="s">
        <v>2185</v>
      </c>
    </row>
    <row r="7" spans="1:14" s="1094" customFormat="1">
      <c r="A7" s="1094" t="s">
        <v>2186</v>
      </c>
    </row>
    <row r="8" spans="1:14" s="1094" customFormat="1">
      <c r="A8" s="1092" t="s">
        <v>228</v>
      </c>
      <c r="B8" s="1092" t="s">
        <v>227</v>
      </c>
      <c r="C8" s="1092" t="s">
        <v>226</v>
      </c>
      <c r="D8" s="1092"/>
      <c r="E8" s="1093" t="s">
        <v>225</v>
      </c>
      <c r="F8" s="1093"/>
      <c r="G8" s="1092" t="s">
        <v>224</v>
      </c>
      <c r="H8" s="1488" t="s">
        <v>223</v>
      </c>
      <c r="I8" s="1488"/>
      <c r="J8" s="1140" t="s">
        <v>222</v>
      </c>
      <c r="K8" s="1092" t="s">
        <v>221</v>
      </c>
    </row>
    <row r="9" spans="1:14" s="1141" customFormat="1">
      <c r="A9" s="1494" t="s">
        <v>220</v>
      </c>
      <c r="B9" s="1496" t="s">
        <v>219</v>
      </c>
      <c r="C9" s="1498" t="s">
        <v>218</v>
      </c>
      <c r="D9" s="1498" t="s">
        <v>2187</v>
      </c>
      <c r="E9" s="1500" t="s">
        <v>216</v>
      </c>
      <c r="F9" s="1501"/>
      <c r="G9" s="1498" t="s">
        <v>215</v>
      </c>
      <c r="H9" s="1503" t="s">
        <v>214</v>
      </c>
      <c r="I9" s="1501"/>
      <c r="J9" s="1492" t="s">
        <v>240</v>
      </c>
      <c r="K9" s="1494" t="s">
        <v>212</v>
      </c>
    </row>
    <row r="10" spans="1:14" s="1141" customFormat="1">
      <c r="A10" s="1495"/>
      <c r="B10" s="1497"/>
      <c r="C10" s="1499"/>
      <c r="D10" s="1499"/>
      <c r="E10" s="1142" t="s">
        <v>211</v>
      </c>
      <c r="F10" s="1143" t="s">
        <v>210</v>
      </c>
      <c r="G10" s="1502"/>
      <c r="H10" s="1144" t="s">
        <v>211</v>
      </c>
      <c r="I10" s="1143" t="s">
        <v>210</v>
      </c>
      <c r="J10" s="1493"/>
      <c r="K10" s="1495"/>
    </row>
    <row r="11" spans="1:14" ht="15.95" customHeight="1">
      <c r="A11" s="1145" t="s">
        <v>1558</v>
      </c>
      <c r="B11" s="1146"/>
      <c r="C11" s="1147"/>
      <c r="D11" s="1147"/>
      <c r="E11" s="1148"/>
      <c r="F11" s="1147"/>
      <c r="G11" s="1148"/>
      <c r="H11" s="1146"/>
      <c r="I11" s="1147"/>
      <c r="J11" s="1149"/>
      <c r="K11" s="1150"/>
    </row>
    <row r="12" spans="1:14" s="1157" customFormat="1" ht="15.95" hidden="1" customHeight="1">
      <c r="A12" s="1151"/>
      <c r="B12" s="1152"/>
      <c r="C12" s="1153"/>
      <c r="D12" s="1153"/>
      <c r="E12" s="1154"/>
      <c r="F12" s="1153"/>
      <c r="G12" s="1154"/>
      <c r="H12" s="1152"/>
      <c r="I12" s="1153"/>
      <c r="J12" s="1155"/>
      <c r="K12" s="1156"/>
    </row>
    <row r="13" spans="1:14" s="1157" customFormat="1" ht="15.95" customHeight="1">
      <c r="A13" s="1151" t="s">
        <v>1559</v>
      </c>
      <c r="B13" s="1158"/>
      <c r="C13" s="1153"/>
      <c r="D13" s="1153"/>
      <c r="E13" s="1154"/>
      <c r="F13" s="1153"/>
      <c r="G13" s="1154"/>
      <c r="H13" s="1152"/>
      <c r="I13" s="1153"/>
      <c r="J13" s="1155"/>
      <c r="K13" s="1156">
        <f>SUM(K15:K26)</f>
        <v>25167925.84</v>
      </c>
    </row>
    <row r="14" spans="1:14" s="1157" customFormat="1" hidden="1">
      <c r="K14" s="1159"/>
    </row>
    <row r="15" spans="1:14" s="1157" customFormat="1" ht="15.95" customHeight="1">
      <c r="A15" s="1151" t="s">
        <v>2188</v>
      </c>
      <c r="B15" s="1158" t="s">
        <v>2189</v>
      </c>
      <c r="C15" s="1153" t="s">
        <v>345</v>
      </c>
      <c r="D15" s="1160">
        <v>1.4999999999999999E-2</v>
      </c>
      <c r="E15" s="1161">
        <v>0.01</v>
      </c>
      <c r="F15" s="1162">
        <v>0.03</v>
      </c>
      <c r="G15" s="1154"/>
      <c r="H15" s="1163"/>
      <c r="I15" s="1164"/>
      <c r="J15" s="1155" t="s">
        <v>2190</v>
      </c>
      <c r="K15" s="1156">
        <f>8925563.93+175396+73320.76</f>
        <v>9174280.6899999995</v>
      </c>
    </row>
    <row r="16" spans="1:14" s="1157" customFormat="1" ht="15.95" customHeight="1">
      <c r="A16" s="1151" t="s">
        <v>2191</v>
      </c>
      <c r="B16" s="1158" t="s">
        <v>1739</v>
      </c>
      <c r="C16" s="1153" t="s">
        <v>345</v>
      </c>
      <c r="D16" s="1165">
        <v>8.6956000000000006E-2</v>
      </c>
      <c r="E16" s="1154"/>
      <c r="F16" s="1153"/>
      <c r="G16" s="1154"/>
      <c r="H16" s="1163"/>
      <c r="I16" s="1164"/>
      <c r="J16" s="1155" t="s">
        <v>2192</v>
      </c>
      <c r="K16" s="1156">
        <v>6920584.5300000003</v>
      </c>
      <c r="N16" s="1166"/>
    </row>
    <row r="17" spans="1:14" s="1157" customFormat="1" ht="15.95" customHeight="1">
      <c r="A17" s="1151" t="s">
        <v>2193</v>
      </c>
      <c r="B17" s="1158" t="s">
        <v>2194</v>
      </c>
      <c r="C17" s="1153" t="s">
        <v>367</v>
      </c>
      <c r="D17" s="1153"/>
      <c r="E17" s="1154"/>
      <c r="F17" s="1153"/>
      <c r="G17" s="1154"/>
      <c r="H17" s="1163">
        <v>17.05</v>
      </c>
      <c r="I17" s="1164">
        <v>47</v>
      </c>
      <c r="J17" s="1155" t="s">
        <v>2195</v>
      </c>
      <c r="K17" s="1156">
        <v>3794160.17</v>
      </c>
    </row>
    <row r="18" spans="1:14" s="1157" customFormat="1" ht="15.95" customHeight="1">
      <c r="A18" s="1151" t="s">
        <v>2196</v>
      </c>
      <c r="B18" s="1158" t="s">
        <v>2197</v>
      </c>
      <c r="C18" s="1153" t="s">
        <v>345</v>
      </c>
      <c r="D18" s="1162">
        <v>0.18</v>
      </c>
      <c r="E18" s="1154"/>
      <c r="F18" s="1153"/>
      <c r="G18" s="1154"/>
      <c r="H18" s="1163"/>
      <c r="I18" s="1164"/>
      <c r="J18" s="1155" t="s">
        <v>2198</v>
      </c>
      <c r="K18" s="1156">
        <v>3073804.29</v>
      </c>
      <c r="N18" s="1166"/>
    </row>
    <row r="19" spans="1:14" s="1176" customFormat="1">
      <c r="A19" s="1167" t="s">
        <v>2199</v>
      </c>
      <c r="B19" s="1168" t="s">
        <v>2200</v>
      </c>
      <c r="C19" s="1169"/>
      <c r="D19" s="1170">
        <v>0.1</v>
      </c>
      <c r="E19" s="1171"/>
      <c r="F19" s="1169"/>
      <c r="G19" s="1171"/>
      <c r="H19" s="1172"/>
      <c r="I19" s="1173"/>
      <c r="J19" s="1174" t="s">
        <v>2201</v>
      </c>
      <c r="K19" s="1175">
        <v>1220810.47</v>
      </c>
    </row>
    <row r="20" spans="1:14" s="1178" customFormat="1" ht="13.5" customHeight="1">
      <c r="A20" s="1177" t="s">
        <v>2202</v>
      </c>
      <c r="B20" s="1168" t="s">
        <v>2203</v>
      </c>
      <c r="C20" s="1169" t="s">
        <v>430</v>
      </c>
      <c r="D20" s="1169"/>
      <c r="E20" s="1171"/>
      <c r="F20" s="1169"/>
      <c r="G20" s="1171"/>
      <c r="H20" s="1172">
        <v>417</v>
      </c>
      <c r="I20" s="1173">
        <v>2085</v>
      </c>
      <c r="J20" s="1174" t="s">
        <v>2204</v>
      </c>
      <c r="K20" s="1175">
        <v>511798</v>
      </c>
      <c r="N20" s="1179"/>
    </row>
    <row r="21" spans="1:14" s="1157" customFormat="1" ht="15.95" customHeight="1">
      <c r="A21" s="1151" t="s">
        <v>2205</v>
      </c>
      <c r="B21" s="1158" t="s">
        <v>2206</v>
      </c>
      <c r="C21" s="1153" t="s">
        <v>352</v>
      </c>
      <c r="D21" s="1153"/>
      <c r="E21" s="1154"/>
      <c r="F21" s="1153"/>
      <c r="G21" s="1154"/>
      <c r="H21" s="1163">
        <v>1156</v>
      </c>
      <c r="I21" s="1164">
        <v>4971.5</v>
      </c>
      <c r="J21" s="1155" t="s">
        <v>2207</v>
      </c>
      <c r="K21" s="1156">
        <v>150505.07</v>
      </c>
    </row>
    <row r="22" spans="1:14" s="1157" customFormat="1" ht="15.95" customHeight="1">
      <c r="A22" s="1151" t="s">
        <v>2208</v>
      </c>
      <c r="B22" s="1158" t="s">
        <v>2203</v>
      </c>
      <c r="C22" s="1153" t="s">
        <v>430</v>
      </c>
      <c r="D22" s="1153"/>
      <c r="E22" s="1154" t="s">
        <v>759</v>
      </c>
      <c r="F22" s="1153"/>
      <c r="G22" s="1154"/>
      <c r="H22" s="1163">
        <v>254</v>
      </c>
      <c r="I22" s="1164">
        <v>434</v>
      </c>
      <c r="J22" s="1155" t="s">
        <v>2209</v>
      </c>
      <c r="K22" s="1156">
        <v>147563.25</v>
      </c>
    </row>
    <row r="23" spans="1:14" s="1178" customFormat="1" ht="15.95" hidden="1" customHeight="1">
      <c r="A23" s="1151"/>
      <c r="B23" s="1180"/>
      <c r="C23" s="1181"/>
      <c r="D23" s="1181"/>
      <c r="E23" s="1182"/>
      <c r="F23" s="1181"/>
      <c r="G23" s="1182"/>
      <c r="H23" s="1183"/>
      <c r="I23" s="1184"/>
      <c r="J23" s="1185"/>
      <c r="K23" s="1156"/>
    </row>
    <row r="24" spans="1:14" s="1178" customFormat="1" ht="15.95" customHeight="1">
      <c r="A24" s="1151" t="s">
        <v>2210</v>
      </c>
      <c r="B24" s="1158" t="s">
        <v>2211</v>
      </c>
      <c r="C24" s="1153" t="s">
        <v>468</v>
      </c>
      <c r="D24" s="1160">
        <v>6.9999999999999999E-4</v>
      </c>
      <c r="E24" s="1154"/>
      <c r="F24" s="1153"/>
      <c r="G24" s="1154"/>
      <c r="H24" s="1163"/>
      <c r="I24" s="1164"/>
      <c r="J24" s="1155" t="s">
        <v>2212</v>
      </c>
      <c r="K24" s="1156">
        <v>102378.37</v>
      </c>
    </row>
    <row r="25" spans="1:14" s="1157" customFormat="1" ht="15.95" customHeight="1">
      <c r="A25" s="1151" t="s">
        <v>2213</v>
      </c>
      <c r="B25" s="1158" t="s">
        <v>2214</v>
      </c>
      <c r="C25" s="1153" t="s">
        <v>2215</v>
      </c>
      <c r="D25" s="1153"/>
      <c r="E25" s="1154"/>
      <c r="F25" s="1153"/>
      <c r="G25" s="1154"/>
      <c r="H25" s="1163"/>
      <c r="I25" s="1164"/>
      <c r="J25" s="1155" t="s">
        <v>2216</v>
      </c>
      <c r="K25" s="1156">
        <v>72041</v>
      </c>
    </row>
    <row r="26" spans="1:14" s="1176" customFormat="1" hidden="1">
      <c r="A26" s="1167"/>
      <c r="B26" s="1168"/>
      <c r="C26" s="1169"/>
      <c r="D26" s="1169" t="s">
        <v>2217</v>
      </c>
      <c r="E26" s="1171"/>
      <c r="F26" s="1169"/>
      <c r="G26" s="1171"/>
      <c r="H26" s="1172"/>
      <c r="I26" s="1173"/>
      <c r="J26" s="1174"/>
      <c r="K26" s="1175"/>
    </row>
    <row r="27" spans="1:14" s="1176" customFormat="1" ht="11.25" hidden="1" customHeight="1">
      <c r="A27" s="1167"/>
      <c r="B27" s="1168"/>
      <c r="C27" s="1169"/>
      <c r="D27" s="1169"/>
      <c r="E27" s="1171"/>
      <c r="F27" s="1169"/>
      <c r="G27" s="1171"/>
      <c r="H27" s="1172"/>
      <c r="I27" s="1173"/>
      <c r="J27" s="1174"/>
      <c r="K27" s="1175"/>
    </row>
    <row r="28" spans="1:14" s="1176" customFormat="1" ht="11.25" hidden="1" customHeight="1">
      <c r="A28" s="1167"/>
      <c r="B28" s="1168"/>
      <c r="C28" s="1169"/>
      <c r="D28" s="1169"/>
      <c r="E28" s="1171"/>
      <c r="F28" s="1169"/>
      <c r="G28" s="1171"/>
      <c r="H28" s="1172"/>
      <c r="I28" s="1173"/>
      <c r="J28" s="1174"/>
      <c r="K28" s="1175"/>
    </row>
    <row r="29" spans="1:14" s="1176" customFormat="1" ht="11.25" hidden="1" customHeight="1">
      <c r="A29" s="1167"/>
      <c r="B29" s="1168"/>
      <c r="C29" s="1169"/>
      <c r="D29" s="1169"/>
      <c r="E29" s="1171"/>
      <c r="F29" s="1169"/>
      <c r="G29" s="1171"/>
      <c r="H29" s="1172"/>
      <c r="I29" s="1173"/>
      <c r="J29" s="1174"/>
      <c r="K29" s="1175"/>
    </row>
    <row r="30" spans="1:14" s="1176" customFormat="1" hidden="1">
      <c r="A30" s="1167"/>
      <c r="B30" s="1168"/>
      <c r="C30" s="1169"/>
      <c r="D30" s="1169"/>
      <c r="E30" s="1171"/>
      <c r="F30" s="1169"/>
      <c r="G30" s="1171"/>
      <c r="H30" s="1172"/>
      <c r="I30" s="1173"/>
      <c r="J30" s="1174"/>
      <c r="K30" s="1175"/>
    </row>
    <row r="31" spans="1:14" s="1176" customFormat="1" ht="12.75" hidden="1" customHeight="1">
      <c r="A31" s="1167"/>
      <c r="B31" s="1168"/>
      <c r="C31" s="1169"/>
      <c r="D31" s="1169"/>
      <c r="E31" s="1171"/>
      <c r="F31" s="1169"/>
      <c r="G31" s="1171"/>
      <c r="H31" s="1172"/>
      <c r="I31" s="1173"/>
      <c r="J31" s="1174"/>
      <c r="K31" s="1175"/>
    </row>
    <row r="32" spans="1:14" s="1176" customFormat="1" ht="15.95" hidden="1" customHeight="1">
      <c r="A32" s="1186"/>
      <c r="B32" s="1158"/>
      <c r="C32" s="1153"/>
      <c r="D32" s="1153"/>
      <c r="E32" s="1154"/>
      <c r="F32" s="1153"/>
      <c r="G32" s="1154"/>
      <c r="H32" s="1163"/>
      <c r="I32" s="1164"/>
      <c r="J32" s="1155"/>
      <c r="K32" s="1156"/>
    </row>
    <row r="33" spans="1:15" s="1195" customFormat="1" ht="15.95" customHeight="1">
      <c r="A33" s="1187" t="s">
        <v>1567</v>
      </c>
      <c r="B33" s="1188"/>
      <c r="C33" s="1189"/>
      <c r="D33" s="1189"/>
      <c r="E33" s="1190"/>
      <c r="F33" s="1189"/>
      <c r="G33" s="1190"/>
      <c r="H33" s="1191"/>
      <c r="I33" s="1192"/>
      <c r="J33" s="1193"/>
      <c r="K33" s="1194">
        <f>+K34</f>
        <v>742207.75</v>
      </c>
      <c r="N33" s="1196"/>
    </row>
    <row r="34" spans="1:15" s="1195" customFormat="1" ht="15.95" customHeight="1">
      <c r="A34" s="1187" t="s">
        <v>2218</v>
      </c>
      <c r="B34" s="1188" t="s">
        <v>2219</v>
      </c>
      <c r="C34" s="1189"/>
      <c r="D34" s="1189"/>
      <c r="E34" s="1190"/>
      <c r="F34" s="1189"/>
      <c r="G34" s="1190"/>
      <c r="H34" s="1191"/>
      <c r="I34" s="1192"/>
      <c r="J34" s="1193" t="s">
        <v>2220</v>
      </c>
      <c r="K34" s="1194">
        <v>742207.75</v>
      </c>
    </row>
    <row r="35" spans="1:15" s="1195" customFormat="1" ht="15.95" hidden="1" customHeight="1">
      <c r="A35" s="1187"/>
      <c r="B35" s="1188"/>
      <c r="C35" s="1189"/>
      <c r="D35" s="1189"/>
      <c r="E35" s="1190"/>
      <c r="F35" s="1189"/>
      <c r="G35" s="1190"/>
      <c r="H35" s="1191"/>
      <c r="I35" s="1192"/>
      <c r="J35" s="1193"/>
      <c r="K35" s="1194"/>
    </row>
    <row r="36" spans="1:15" s="1195" customFormat="1" ht="15.95" hidden="1" customHeight="1">
      <c r="A36" s="1187"/>
      <c r="B36" s="1188"/>
      <c r="C36" s="1189"/>
      <c r="D36" s="1189"/>
      <c r="E36" s="1190"/>
      <c r="F36" s="1189"/>
      <c r="G36" s="1190"/>
      <c r="H36" s="1191"/>
      <c r="I36" s="1192"/>
      <c r="J36" s="1193"/>
      <c r="K36" s="1194"/>
    </row>
    <row r="37" spans="1:15" s="1195" customFormat="1" ht="15.95" hidden="1" customHeight="1">
      <c r="A37" s="1151"/>
      <c r="B37" s="1188"/>
      <c r="C37" s="1189"/>
      <c r="D37" s="1189"/>
      <c r="E37" s="1190"/>
      <c r="F37" s="1189"/>
      <c r="G37" s="1190"/>
      <c r="H37" s="1191"/>
      <c r="I37" s="1192"/>
      <c r="J37" s="1193"/>
      <c r="K37" s="1194"/>
    </row>
    <row r="38" spans="1:15" s="1195" customFormat="1" ht="15.95" hidden="1" customHeight="1">
      <c r="A38" s="1151"/>
      <c r="B38" s="1188"/>
      <c r="C38" s="1189"/>
      <c r="D38" s="1189"/>
      <c r="E38" s="1190"/>
      <c r="F38" s="1189"/>
      <c r="G38" s="1190"/>
      <c r="H38" s="1191"/>
      <c r="I38" s="1192"/>
      <c r="J38" s="1193"/>
      <c r="K38" s="1194"/>
    </row>
    <row r="39" spans="1:15" s="1178" customFormat="1" ht="15.95" customHeight="1">
      <c r="A39" s="1151" t="s">
        <v>1568</v>
      </c>
      <c r="B39" s="1158"/>
      <c r="C39" s="1153"/>
      <c r="D39" s="1153"/>
      <c r="E39" s="1154"/>
      <c r="F39" s="1153"/>
      <c r="G39" s="1154"/>
      <c r="H39" s="1163"/>
      <c r="I39" s="1164"/>
      <c r="J39" s="1155"/>
      <c r="K39" s="1156">
        <f>SUM(K40:K44)</f>
        <v>57872.03</v>
      </c>
    </row>
    <row r="40" spans="1:15" s="1178" customFormat="1" ht="15.95" customHeight="1">
      <c r="A40" s="1151" t="s">
        <v>2221</v>
      </c>
      <c r="B40" s="1158" t="s">
        <v>2222</v>
      </c>
      <c r="C40" s="1153"/>
      <c r="D40" s="1153"/>
      <c r="E40" s="1154"/>
      <c r="F40" s="1153"/>
      <c r="G40" s="1154">
        <v>5014</v>
      </c>
      <c r="H40" s="1163"/>
      <c r="I40" s="1164"/>
      <c r="J40" s="1155" t="s">
        <v>2223</v>
      </c>
      <c r="K40" s="1156">
        <v>30084</v>
      </c>
      <c r="O40" s="1178">
        <f>5014+7674</f>
        <v>12688</v>
      </c>
    </row>
    <row r="41" spans="1:15" s="1178" customFormat="1" ht="15.95" customHeight="1">
      <c r="A41" s="1151" t="s">
        <v>2224</v>
      </c>
      <c r="B41" s="1158" t="s">
        <v>2225</v>
      </c>
      <c r="C41" s="1153"/>
      <c r="D41" s="1153"/>
      <c r="E41" s="1154"/>
      <c r="F41" s="1153"/>
      <c r="G41" s="1154">
        <v>1279</v>
      </c>
      <c r="H41" s="1163"/>
      <c r="I41" s="1164"/>
      <c r="J41" s="1155" t="s">
        <v>2226</v>
      </c>
      <c r="K41" s="1156">
        <v>26859</v>
      </c>
    </row>
    <row r="42" spans="1:15" s="1157" customFormat="1" ht="15.95" customHeight="1">
      <c r="A42" s="1151" t="s">
        <v>2227</v>
      </c>
      <c r="B42" s="1158" t="s">
        <v>2228</v>
      </c>
      <c r="C42" s="1153" t="s">
        <v>345</v>
      </c>
      <c r="D42" s="1153"/>
      <c r="E42" s="1154"/>
      <c r="F42" s="1153"/>
      <c r="G42" s="1154"/>
      <c r="H42" s="1163"/>
      <c r="I42" s="1164"/>
      <c r="J42" s="1155" t="s">
        <v>2229</v>
      </c>
      <c r="K42" s="1156">
        <v>929.03</v>
      </c>
    </row>
    <row r="43" spans="1:15" s="1157" customFormat="1" ht="15.95" hidden="1" customHeight="1">
      <c r="A43" s="1151" t="s">
        <v>1230</v>
      </c>
      <c r="B43" s="1158"/>
      <c r="C43" s="1153"/>
      <c r="D43" s="1181"/>
      <c r="E43" s="1182"/>
      <c r="F43" s="1181"/>
      <c r="G43" s="1182"/>
      <c r="H43" s="1183"/>
      <c r="I43" s="1184"/>
      <c r="J43" s="1185"/>
      <c r="K43" s="1156"/>
    </row>
    <row r="44" spans="1:15" s="1157" customFormat="1" ht="15.95" hidden="1" customHeight="1">
      <c r="A44" s="1151"/>
      <c r="B44" s="1158"/>
      <c r="C44" s="1153"/>
      <c r="D44" s="1181"/>
      <c r="E44" s="1182"/>
      <c r="F44" s="1181"/>
      <c r="G44" s="1182"/>
      <c r="H44" s="1183"/>
      <c r="I44" s="1184"/>
      <c r="J44" s="1185"/>
      <c r="K44" s="1156"/>
    </row>
    <row r="45" spans="1:15" s="1157" customFormat="1" ht="15.95" customHeight="1">
      <c r="A45" s="1151" t="s">
        <v>1574</v>
      </c>
      <c r="B45" s="1197"/>
      <c r="C45" s="1153"/>
      <c r="D45" s="1153"/>
      <c r="E45" s="1154"/>
      <c r="F45" s="1153"/>
      <c r="G45" s="1154"/>
      <c r="H45" s="1163"/>
      <c r="I45" s="1164"/>
      <c r="J45" s="1155"/>
      <c r="K45" s="1156">
        <f>+K46</f>
        <v>0</v>
      </c>
    </row>
    <row r="46" spans="1:15" s="1157" customFormat="1" ht="15.95" customHeight="1">
      <c r="A46" s="1151"/>
      <c r="B46" s="1197"/>
      <c r="C46" s="1153"/>
      <c r="D46" s="1153"/>
      <c r="E46" s="1154"/>
      <c r="F46" s="1153"/>
      <c r="G46" s="1154"/>
      <c r="H46" s="1163"/>
      <c r="I46" s="1164"/>
      <c r="J46" s="1155"/>
      <c r="K46" s="1156"/>
    </row>
    <row r="47" spans="1:15" s="1157" customFormat="1" ht="15.95" hidden="1" customHeight="1">
      <c r="A47" s="1151"/>
      <c r="B47" s="1197"/>
      <c r="C47" s="1153"/>
      <c r="D47" s="1153"/>
      <c r="E47" s="1154"/>
      <c r="F47" s="1153"/>
      <c r="G47" s="1154"/>
      <c r="H47" s="1163"/>
      <c r="I47" s="1164"/>
      <c r="J47" s="1155"/>
      <c r="K47" s="1156"/>
    </row>
    <row r="48" spans="1:15" s="1157" customFormat="1" ht="15.95" hidden="1" customHeight="1">
      <c r="A48" s="1151"/>
      <c r="B48" s="1197"/>
      <c r="C48" s="1153"/>
      <c r="D48" s="1153"/>
      <c r="E48" s="1154"/>
      <c r="F48" s="1153"/>
      <c r="G48" s="1154"/>
      <c r="H48" s="1163"/>
      <c r="I48" s="1164"/>
      <c r="J48" s="1155"/>
      <c r="K48" s="1156"/>
    </row>
    <row r="49" spans="1:11" s="1157" customFormat="1" ht="15.95" hidden="1" customHeight="1">
      <c r="A49" s="1151"/>
      <c r="B49" s="1197"/>
      <c r="C49" s="1153"/>
      <c r="D49" s="1153"/>
      <c r="E49" s="1154"/>
      <c r="F49" s="1153"/>
      <c r="G49" s="1154"/>
      <c r="H49" s="1163"/>
      <c r="I49" s="1164"/>
      <c r="J49" s="1155"/>
      <c r="K49" s="1156"/>
    </row>
    <row r="50" spans="1:11" s="1157" customFormat="1" ht="15.95" hidden="1" customHeight="1">
      <c r="A50" s="1151"/>
      <c r="B50" s="1197"/>
      <c r="C50" s="1153"/>
      <c r="D50" s="1153"/>
      <c r="E50" s="1154"/>
      <c r="F50" s="1153"/>
      <c r="G50" s="1154"/>
      <c r="H50" s="1163"/>
      <c r="I50" s="1164"/>
      <c r="J50" s="1155"/>
      <c r="K50" s="1156"/>
    </row>
    <row r="51" spans="1:11" s="1157" customFormat="1" ht="15.95" customHeight="1">
      <c r="A51" s="1151" t="s">
        <v>1579</v>
      </c>
      <c r="B51" s="1197"/>
      <c r="C51" s="1153"/>
      <c r="D51" s="1153"/>
      <c r="E51" s="1154"/>
      <c r="F51" s="1153"/>
      <c r="G51" s="1154"/>
      <c r="H51" s="1163"/>
      <c r="I51" s="1164"/>
      <c r="J51" s="1155"/>
      <c r="K51" s="1156">
        <f>+K52</f>
        <v>264966.40000000002</v>
      </c>
    </row>
    <row r="52" spans="1:11" s="1157" customFormat="1" ht="15.95" customHeight="1">
      <c r="A52" s="1151" t="s">
        <v>2230</v>
      </c>
      <c r="B52" s="1198"/>
      <c r="C52" s="1153"/>
      <c r="D52" s="1153"/>
      <c r="E52" s="1154"/>
      <c r="F52" s="1153"/>
      <c r="G52" s="1154">
        <v>5</v>
      </c>
      <c r="H52" s="1163"/>
      <c r="I52" s="1164"/>
      <c r="J52" s="1199" t="s">
        <v>2231</v>
      </c>
      <c r="K52" s="1156">
        <v>264966.40000000002</v>
      </c>
    </row>
    <row r="53" spans="1:11" s="1157" customFormat="1" ht="15.95" hidden="1" customHeight="1">
      <c r="A53" s="1151"/>
      <c r="B53" s="1197"/>
      <c r="C53" s="1153"/>
      <c r="D53" s="1153"/>
      <c r="E53" s="1154"/>
      <c r="F53" s="1153"/>
      <c r="G53" s="1154"/>
      <c r="H53" s="1163"/>
      <c r="I53" s="1164"/>
      <c r="J53" s="1155" t="s">
        <v>2232</v>
      </c>
      <c r="K53" s="1156"/>
    </row>
    <row r="54" spans="1:11" s="1157" customFormat="1" ht="15.95" hidden="1" customHeight="1">
      <c r="A54" s="1151"/>
      <c r="B54" s="1197"/>
      <c r="C54" s="1153"/>
      <c r="D54" s="1153"/>
      <c r="E54" s="1154"/>
      <c r="F54" s="1153"/>
      <c r="G54" s="1154"/>
      <c r="H54" s="1163"/>
      <c r="I54" s="1164"/>
      <c r="J54" s="1155" t="s">
        <v>2233</v>
      </c>
      <c r="K54" s="1156"/>
    </row>
    <row r="55" spans="1:11" s="1157" customFormat="1" ht="15.95" hidden="1" customHeight="1">
      <c r="A55" s="1151"/>
      <c r="B55" s="1197"/>
      <c r="C55" s="1153"/>
      <c r="D55" s="1153"/>
      <c r="E55" s="1154"/>
      <c r="F55" s="1153"/>
      <c r="G55" s="1154"/>
      <c r="H55" s="1163"/>
      <c r="I55" s="1164"/>
      <c r="J55" s="1155"/>
      <c r="K55" s="1156"/>
    </row>
    <row r="56" spans="1:11" s="1157" customFormat="1" ht="15.95" hidden="1" customHeight="1">
      <c r="A56" s="1151"/>
      <c r="B56" s="1197"/>
      <c r="C56" s="1153"/>
      <c r="D56" s="1153"/>
      <c r="E56" s="1154"/>
      <c r="F56" s="1153"/>
      <c r="G56" s="1154"/>
      <c r="H56" s="1163"/>
      <c r="I56" s="1164"/>
      <c r="J56" s="1155"/>
      <c r="K56" s="1156"/>
    </row>
    <row r="57" spans="1:11" s="1201" customFormat="1" ht="15.95" customHeight="1">
      <c r="A57" s="1187" t="s">
        <v>1580</v>
      </c>
      <c r="B57" s="1200"/>
      <c r="C57" s="1189"/>
      <c r="D57" s="1189"/>
      <c r="E57" s="1190"/>
      <c r="F57" s="1189"/>
      <c r="G57" s="1190"/>
      <c r="H57" s="1191"/>
      <c r="I57" s="1192"/>
      <c r="J57" s="1193"/>
      <c r="K57" s="1194">
        <f>SUM(K58:K63)</f>
        <v>711618.45</v>
      </c>
    </row>
    <row r="58" spans="1:11" s="1201" customFormat="1" ht="15.95" customHeight="1">
      <c r="A58" s="1187" t="s">
        <v>2234</v>
      </c>
      <c r="B58" s="1188" t="s">
        <v>420</v>
      </c>
      <c r="C58" s="1189" t="s">
        <v>345</v>
      </c>
      <c r="D58" s="1202">
        <v>0.02</v>
      </c>
      <c r="E58" s="1190"/>
      <c r="F58" s="1189"/>
      <c r="G58" s="1190"/>
      <c r="H58" s="1191"/>
      <c r="I58" s="1192"/>
      <c r="J58" s="1193" t="s">
        <v>2235</v>
      </c>
      <c r="K58" s="1194">
        <v>493965.85</v>
      </c>
    </row>
    <row r="59" spans="1:11" s="1201" customFormat="1" ht="15.95" customHeight="1">
      <c r="A59" s="1187" t="s">
        <v>2236</v>
      </c>
      <c r="B59" s="1188" t="s">
        <v>420</v>
      </c>
      <c r="C59" s="1189" t="s">
        <v>345</v>
      </c>
      <c r="D59" s="1202">
        <v>0.02</v>
      </c>
      <c r="E59" s="1190"/>
      <c r="F59" s="1189"/>
      <c r="G59" s="1190"/>
      <c r="H59" s="1191"/>
      <c r="I59" s="1192"/>
      <c r="J59" s="1193" t="str">
        <f>+J58</f>
        <v>CTM 2022 - TIT VII</v>
      </c>
      <c r="K59" s="1194">
        <v>188112.6</v>
      </c>
    </row>
    <row r="60" spans="1:11" s="1201" customFormat="1" ht="15.95" customHeight="1">
      <c r="A60" s="1187" t="s">
        <v>2237</v>
      </c>
      <c r="B60" s="1188" t="s">
        <v>2238</v>
      </c>
      <c r="C60" s="1189" t="s">
        <v>345</v>
      </c>
      <c r="D60" s="1189"/>
      <c r="E60" s="1190"/>
      <c r="F60" s="1189"/>
      <c r="G60" s="1203"/>
      <c r="H60" s="1191"/>
      <c r="I60" s="1192"/>
      <c r="J60" s="1193" t="s">
        <v>2239</v>
      </c>
      <c r="K60" s="1194">
        <v>29540</v>
      </c>
    </row>
    <row r="61" spans="1:11" s="1178" customFormat="1" ht="15.95" customHeight="1">
      <c r="A61" s="1187" t="s">
        <v>2240</v>
      </c>
      <c r="B61" s="1197"/>
      <c r="C61" s="1153"/>
      <c r="D61" s="1153"/>
      <c r="E61" s="1154"/>
      <c r="F61" s="1153"/>
      <c r="G61" s="1154"/>
      <c r="H61" s="1163"/>
      <c r="I61" s="1164"/>
      <c r="J61" s="1193" t="s">
        <v>2239</v>
      </c>
      <c r="K61" s="1194">
        <v>0</v>
      </c>
    </row>
    <row r="62" spans="1:11" s="1157" customFormat="1">
      <c r="A62" s="1187" t="s">
        <v>2241</v>
      </c>
      <c r="B62" s="1204"/>
      <c r="C62" s="1159"/>
      <c r="D62" s="1159"/>
      <c r="E62" s="1205"/>
      <c r="F62" s="1159"/>
      <c r="G62" s="1205"/>
      <c r="H62" s="1206"/>
      <c r="I62" s="1207"/>
      <c r="J62" s="1193" t="s">
        <v>2239</v>
      </c>
      <c r="K62" s="1194">
        <v>0</v>
      </c>
    </row>
    <row r="63" spans="1:11" s="1157" customFormat="1">
      <c r="A63" s="1187" t="s">
        <v>2242</v>
      </c>
      <c r="B63" s="1204"/>
      <c r="C63" s="1159"/>
      <c r="D63" s="1159"/>
      <c r="E63" s="1205"/>
      <c r="F63" s="1159"/>
      <c r="G63" s="1205"/>
      <c r="H63" s="1206"/>
      <c r="I63" s="1207"/>
      <c r="J63" s="1193" t="s">
        <v>2239</v>
      </c>
      <c r="K63" s="1194">
        <v>0</v>
      </c>
    </row>
    <row r="64" spans="1:11" s="1157" customFormat="1" hidden="1">
      <c r="K64" s="1159"/>
    </row>
    <row r="65" spans="1:14" s="1178" customFormat="1" ht="15.95" hidden="1" customHeight="1">
      <c r="A65" s="1187"/>
      <c r="B65" s="1197"/>
      <c r="C65" s="1153"/>
      <c r="D65" s="1153"/>
      <c r="E65" s="1154"/>
      <c r="F65" s="1153"/>
      <c r="G65" s="1154"/>
      <c r="H65" s="1163"/>
      <c r="I65" s="1164"/>
      <c r="J65" s="1155"/>
      <c r="K65" s="1194"/>
    </row>
    <row r="66" spans="1:14" s="1178" customFormat="1" ht="15.95" hidden="1" customHeight="1">
      <c r="A66" s="1187"/>
      <c r="B66" s="1197"/>
      <c r="C66" s="1153"/>
      <c r="D66" s="1153"/>
      <c r="E66" s="1154"/>
      <c r="F66" s="1153"/>
      <c r="G66" s="1154"/>
      <c r="H66" s="1163"/>
      <c r="I66" s="1164"/>
      <c r="J66" s="1155"/>
      <c r="K66" s="1194"/>
    </row>
    <row r="67" spans="1:14" s="1157" customFormat="1" ht="15.95" customHeight="1">
      <c r="A67" s="1151" t="s">
        <v>1581</v>
      </c>
      <c r="B67" s="1197"/>
      <c r="C67" s="1153"/>
      <c r="D67" s="1153"/>
      <c r="E67" s="1154"/>
      <c r="F67" s="1153"/>
      <c r="G67" s="1154"/>
      <c r="H67" s="1163"/>
      <c r="I67" s="1164"/>
      <c r="J67" s="1155"/>
      <c r="K67" s="1156">
        <f>SUM(K68:K74)</f>
        <v>5652229.7000000002</v>
      </c>
    </row>
    <row r="68" spans="1:14" s="1201" customFormat="1" ht="15.95" customHeight="1">
      <c r="A68" s="1187" t="s">
        <v>2243</v>
      </c>
      <c r="B68" s="1200"/>
      <c r="C68" s="1189"/>
      <c r="D68" s="1189"/>
      <c r="E68" s="1190"/>
      <c r="F68" s="1189"/>
      <c r="G68" s="1190"/>
      <c r="H68" s="1191"/>
      <c r="I68" s="1192"/>
      <c r="J68" s="1208"/>
      <c r="K68" s="1194">
        <v>0</v>
      </c>
    </row>
    <row r="69" spans="1:14" s="1201" customFormat="1" ht="15.95" customHeight="1">
      <c r="A69" s="1187" t="s">
        <v>2244</v>
      </c>
      <c r="B69" s="1209" t="s">
        <v>2245</v>
      </c>
      <c r="C69" s="1189"/>
      <c r="D69" s="1189"/>
      <c r="E69" s="1190"/>
      <c r="F69" s="1189"/>
      <c r="G69" s="1190"/>
      <c r="H69" s="1191"/>
      <c r="I69" s="1192"/>
      <c r="J69" s="1193"/>
      <c r="K69" s="1194">
        <v>5028191.7</v>
      </c>
    </row>
    <row r="70" spans="1:14" s="1157" customFormat="1" ht="15.95" customHeight="1">
      <c r="A70" s="1151" t="s">
        <v>2246</v>
      </c>
      <c r="B70" s="1197"/>
      <c r="C70" s="1153"/>
      <c r="D70" s="1153"/>
      <c r="E70" s="1154"/>
      <c r="F70" s="1153"/>
      <c r="G70" s="1154"/>
      <c r="H70" s="1163"/>
      <c r="I70" s="1164"/>
      <c r="J70" s="1210"/>
      <c r="K70" s="1156">
        <v>0</v>
      </c>
    </row>
    <row r="71" spans="1:14" s="1201" customFormat="1" ht="15.95" customHeight="1">
      <c r="A71" s="1187" t="s">
        <v>2247</v>
      </c>
      <c r="B71" s="1209" t="s">
        <v>2248</v>
      </c>
      <c r="C71" s="1189"/>
      <c r="D71" s="1189"/>
      <c r="E71" s="1190"/>
      <c r="F71" s="1189"/>
      <c r="G71" s="1190"/>
      <c r="H71" s="1191"/>
      <c r="I71" s="1192"/>
      <c r="J71" s="1193"/>
      <c r="K71" s="1194">
        <v>365750</v>
      </c>
    </row>
    <row r="72" spans="1:14" s="1201" customFormat="1" ht="15.95" customHeight="1">
      <c r="A72" s="1187" t="s">
        <v>2249</v>
      </c>
      <c r="B72" s="1200"/>
      <c r="C72" s="1189"/>
      <c r="D72" s="1189"/>
      <c r="E72" s="1190"/>
      <c r="F72" s="1189"/>
      <c r="G72" s="1190"/>
      <c r="H72" s="1191"/>
      <c r="I72" s="1192"/>
      <c r="J72" s="1193"/>
      <c r="K72" s="1194">
        <v>258288</v>
      </c>
    </row>
    <row r="73" spans="1:14" s="1157" customFormat="1" hidden="1">
      <c r="K73" s="1159"/>
    </row>
    <row r="74" spans="1:14" s="1157" customFormat="1">
      <c r="A74" s="1178" t="s">
        <v>2250</v>
      </c>
      <c r="C74" s="1159"/>
      <c r="D74" s="1159"/>
      <c r="F74" s="1159"/>
      <c r="H74" s="1206"/>
      <c r="I74" s="1207"/>
      <c r="K74" s="1156">
        <v>0</v>
      </c>
    </row>
    <row r="75" spans="1:14" hidden="1">
      <c r="K75" s="1211"/>
    </row>
    <row r="76" spans="1:14" ht="15.95" customHeight="1">
      <c r="A76" s="1212"/>
      <c r="B76" s="1213"/>
      <c r="C76" s="1214"/>
      <c r="D76" s="1214"/>
      <c r="E76" s="1215"/>
      <c r="F76" s="1214"/>
      <c r="G76" s="1215"/>
      <c r="H76" s="1213"/>
      <c r="I76" s="1214"/>
      <c r="J76" s="1216"/>
      <c r="K76" s="1217">
        <f>+K11+K13+K33+K39+K45+K51+K57+K67</f>
        <v>32596820.169999998</v>
      </c>
      <c r="N76" s="1218"/>
    </row>
    <row r="77" spans="1:14">
      <c r="J77" s="328"/>
      <c r="K77" s="1218"/>
    </row>
    <row r="78" spans="1:14">
      <c r="J78" s="328"/>
      <c r="K78" s="1218"/>
      <c r="N78" s="1218"/>
    </row>
    <row r="79" spans="1:14">
      <c r="J79" s="328"/>
      <c r="K79" s="1218"/>
    </row>
    <row r="80" spans="1:14">
      <c r="J80" s="328"/>
      <c r="K80" s="1218"/>
    </row>
    <row r="82" spans="10:11">
      <c r="J82" s="328"/>
      <c r="K82" s="1218"/>
    </row>
    <row r="83" spans="10:11">
      <c r="J83" s="328" t="s">
        <v>1230</v>
      </c>
    </row>
    <row r="84" spans="10:11">
      <c r="J84" s="328"/>
    </row>
  </sheetData>
  <mergeCells count="10">
    <mergeCell ref="J9:J10"/>
    <mergeCell ref="K9:K10"/>
    <mergeCell ref="H8:I8"/>
    <mergeCell ref="A9:A10"/>
    <mergeCell ref="B9:B10"/>
    <mergeCell ref="C9:C10"/>
    <mergeCell ref="D9:D10"/>
    <mergeCell ref="E9:F9"/>
    <mergeCell ref="G9:G10"/>
    <mergeCell ref="H9:I9"/>
  </mergeCells>
  <printOptions horizontalCentered="1"/>
  <pageMargins left="0" right="0" top="0" bottom="0" header="0.31496062992125984" footer="0.31496062992125984"/>
  <pageSetup paperSize="9" scale="80" orientation="landscape" r:id="rId1"/>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pageSetUpPr fitToPage="1"/>
  </sheetPr>
  <dimension ref="A1:K45"/>
  <sheetViews>
    <sheetView showGridLines="0" workbookViewId="0"/>
  </sheetViews>
  <sheetFormatPr baseColWidth="10" defaultRowHeight="15"/>
  <cols>
    <col min="1" max="1" width="65.140625" customWidth="1"/>
    <col min="2" max="2" width="26.85546875" customWidth="1"/>
    <col min="3" max="6" width="17.7109375" customWidth="1"/>
    <col min="7" max="7" width="19.42578125" customWidth="1"/>
    <col min="8" max="9" width="17.7109375" customWidth="1"/>
    <col min="10" max="10" width="51.28515625" customWidth="1"/>
    <col min="11" max="11" width="17.7109375" customWidth="1"/>
    <col min="257" max="257" width="65.140625" customWidth="1"/>
    <col min="258" max="258" width="26.85546875" customWidth="1"/>
    <col min="259" max="262" width="17.7109375" customWidth="1"/>
    <col min="263" max="263" width="19.42578125" customWidth="1"/>
    <col min="264" max="265" width="17.7109375" customWidth="1"/>
    <col min="266" max="266" width="51.28515625" customWidth="1"/>
    <col min="267" max="267" width="17.7109375" customWidth="1"/>
    <col min="513" max="513" width="65.140625" customWidth="1"/>
    <col min="514" max="514" width="26.85546875" customWidth="1"/>
    <col min="515" max="518" width="17.7109375" customWidth="1"/>
    <col min="519" max="519" width="19.42578125" customWidth="1"/>
    <col min="520" max="521" width="17.7109375" customWidth="1"/>
    <col min="522" max="522" width="51.28515625" customWidth="1"/>
    <col min="523" max="523" width="17.7109375" customWidth="1"/>
    <col min="769" max="769" width="65.140625" customWidth="1"/>
    <col min="770" max="770" width="26.85546875" customWidth="1"/>
    <col min="771" max="774" width="17.7109375" customWidth="1"/>
    <col min="775" max="775" width="19.42578125" customWidth="1"/>
    <col min="776" max="777" width="17.7109375" customWidth="1"/>
    <col min="778" max="778" width="51.28515625" customWidth="1"/>
    <col min="779" max="779" width="17.7109375" customWidth="1"/>
    <col min="1025" max="1025" width="65.140625" customWidth="1"/>
    <col min="1026" max="1026" width="26.85546875" customWidth="1"/>
    <col min="1027" max="1030" width="17.7109375" customWidth="1"/>
    <col min="1031" max="1031" width="19.42578125" customWidth="1"/>
    <col min="1032" max="1033" width="17.7109375" customWidth="1"/>
    <col min="1034" max="1034" width="51.28515625" customWidth="1"/>
    <col min="1035" max="1035" width="17.7109375" customWidth="1"/>
    <col min="1281" max="1281" width="65.140625" customWidth="1"/>
    <col min="1282" max="1282" width="26.85546875" customWidth="1"/>
    <col min="1283" max="1286" width="17.7109375" customWidth="1"/>
    <col min="1287" max="1287" width="19.42578125" customWidth="1"/>
    <col min="1288" max="1289" width="17.7109375" customWidth="1"/>
    <col min="1290" max="1290" width="51.28515625" customWidth="1"/>
    <col min="1291" max="1291" width="17.7109375" customWidth="1"/>
    <col min="1537" max="1537" width="65.140625" customWidth="1"/>
    <col min="1538" max="1538" width="26.85546875" customWidth="1"/>
    <col min="1539" max="1542" width="17.7109375" customWidth="1"/>
    <col min="1543" max="1543" width="19.42578125" customWidth="1"/>
    <col min="1544" max="1545" width="17.7109375" customWidth="1"/>
    <col min="1546" max="1546" width="51.28515625" customWidth="1"/>
    <col min="1547" max="1547" width="17.7109375" customWidth="1"/>
    <col min="1793" max="1793" width="65.140625" customWidth="1"/>
    <col min="1794" max="1794" width="26.85546875" customWidth="1"/>
    <col min="1795" max="1798" width="17.7109375" customWidth="1"/>
    <col min="1799" max="1799" width="19.42578125" customWidth="1"/>
    <col min="1800" max="1801" width="17.7109375" customWidth="1"/>
    <col min="1802" max="1802" width="51.28515625" customWidth="1"/>
    <col min="1803" max="1803" width="17.7109375" customWidth="1"/>
    <col min="2049" max="2049" width="65.140625" customWidth="1"/>
    <col min="2050" max="2050" width="26.85546875" customWidth="1"/>
    <col min="2051" max="2054" width="17.7109375" customWidth="1"/>
    <col min="2055" max="2055" width="19.42578125" customWidth="1"/>
    <col min="2056" max="2057" width="17.7109375" customWidth="1"/>
    <col min="2058" max="2058" width="51.28515625" customWidth="1"/>
    <col min="2059" max="2059" width="17.7109375" customWidth="1"/>
    <col min="2305" max="2305" width="65.140625" customWidth="1"/>
    <col min="2306" max="2306" width="26.85546875" customWidth="1"/>
    <col min="2307" max="2310" width="17.7109375" customWidth="1"/>
    <col min="2311" max="2311" width="19.42578125" customWidth="1"/>
    <col min="2312" max="2313" width="17.7109375" customWidth="1"/>
    <col min="2314" max="2314" width="51.28515625" customWidth="1"/>
    <col min="2315" max="2315" width="17.7109375" customWidth="1"/>
    <col min="2561" max="2561" width="65.140625" customWidth="1"/>
    <col min="2562" max="2562" width="26.85546875" customWidth="1"/>
    <col min="2563" max="2566" width="17.7109375" customWidth="1"/>
    <col min="2567" max="2567" width="19.42578125" customWidth="1"/>
    <col min="2568" max="2569" width="17.7109375" customWidth="1"/>
    <col min="2570" max="2570" width="51.28515625" customWidth="1"/>
    <col min="2571" max="2571" width="17.7109375" customWidth="1"/>
    <col min="2817" max="2817" width="65.140625" customWidth="1"/>
    <col min="2818" max="2818" width="26.85546875" customWidth="1"/>
    <col min="2819" max="2822" width="17.7109375" customWidth="1"/>
    <col min="2823" max="2823" width="19.42578125" customWidth="1"/>
    <col min="2824" max="2825" width="17.7109375" customWidth="1"/>
    <col min="2826" max="2826" width="51.28515625" customWidth="1"/>
    <col min="2827" max="2827" width="17.7109375" customWidth="1"/>
    <col min="3073" max="3073" width="65.140625" customWidth="1"/>
    <col min="3074" max="3074" width="26.85546875" customWidth="1"/>
    <col min="3075" max="3078" width="17.7109375" customWidth="1"/>
    <col min="3079" max="3079" width="19.42578125" customWidth="1"/>
    <col min="3080" max="3081" width="17.7109375" customWidth="1"/>
    <col min="3082" max="3082" width="51.28515625" customWidth="1"/>
    <col min="3083" max="3083" width="17.7109375" customWidth="1"/>
    <col min="3329" max="3329" width="65.140625" customWidth="1"/>
    <col min="3330" max="3330" width="26.85546875" customWidth="1"/>
    <col min="3331" max="3334" width="17.7109375" customWidth="1"/>
    <col min="3335" max="3335" width="19.42578125" customWidth="1"/>
    <col min="3336" max="3337" width="17.7109375" customWidth="1"/>
    <col min="3338" max="3338" width="51.28515625" customWidth="1"/>
    <col min="3339" max="3339" width="17.7109375" customWidth="1"/>
    <col min="3585" max="3585" width="65.140625" customWidth="1"/>
    <col min="3586" max="3586" width="26.85546875" customWidth="1"/>
    <col min="3587" max="3590" width="17.7109375" customWidth="1"/>
    <col min="3591" max="3591" width="19.42578125" customWidth="1"/>
    <col min="3592" max="3593" width="17.7109375" customWidth="1"/>
    <col min="3594" max="3594" width="51.28515625" customWidth="1"/>
    <col min="3595" max="3595" width="17.7109375" customWidth="1"/>
    <col min="3841" max="3841" width="65.140625" customWidth="1"/>
    <col min="3842" max="3842" width="26.85546875" customWidth="1"/>
    <col min="3843" max="3846" width="17.7109375" customWidth="1"/>
    <col min="3847" max="3847" width="19.42578125" customWidth="1"/>
    <col min="3848" max="3849" width="17.7109375" customWidth="1"/>
    <col min="3850" max="3850" width="51.28515625" customWidth="1"/>
    <col min="3851" max="3851" width="17.7109375" customWidth="1"/>
    <col min="4097" max="4097" width="65.140625" customWidth="1"/>
    <col min="4098" max="4098" width="26.85546875" customWidth="1"/>
    <col min="4099" max="4102" width="17.7109375" customWidth="1"/>
    <col min="4103" max="4103" width="19.42578125" customWidth="1"/>
    <col min="4104" max="4105" width="17.7109375" customWidth="1"/>
    <col min="4106" max="4106" width="51.28515625" customWidth="1"/>
    <col min="4107" max="4107" width="17.7109375" customWidth="1"/>
    <col min="4353" max="4353" width="65.140625" customWidth="1"/>
    <col min="4354" max="4354" width="26.85546875" customWidth="1"/>
    <col min="4355" max="4358" width="17.7109375" customWidth="1"/>
    <col min="4359" max="4359" width="19.42578125" customWidth="1"/>
    <col min="4360" max="4361" width="17.7109375" customWidth="1"/>
    <col min="4362" max="4362" width="51.28515625" customWidth="1"/>
    <col min="4363" max="4363" width="17.7109375" customWidth="1"/>
    <col min="4609" max="4609" width="65.140625" customWidth="1"/>
    <col min="4610" max="4610" width="26.85546875" customWidth="1"/>
    <col min="4611" max="4614" width="17.7109375" customWidth="1"/>
    <col min="4615" max="4615" width="19.42578125" customWidth="1"/>
    <col min="4616" max="4617" width="17.7109375" customWidth="1"/>
    <col min="4618" max="4618" width="51.28515625" customWidth="1"/>
    <col min="4619" max="4619" width="17.7109375" customWidth="1"/>
    <col min="4865" max="4865" width="65.140625" customWidth="1"/>
    <col min="4866" max="4866" width="26.85546875" customWidth="1"/>
    <col min="4867" max="4870" width="17.7109375" customWidth="1"/>
    <col min="4871" max="4871" width="19.42578125" customWidth="1"/>
    <col min="4872" max="4873" width="17.7109375" customWidth="1"/>
    <col min="4874" max="4874" width="51.28515625" customWidth="1"/>
    <col min="4875" max="4875" width="17.7109375" customWidth="1"/>
    <col min="5121" max="5121" width="65.140625" customWidth="1"/>
    <col min="5122" max="5122" width="26.85546875" customWidth="1"/>
    <col min="5123" max="5126" width="17.7109375" customWidth="1"/>
    <col min="5127" max="5127" width="19.42578125" customWidth="1"/>
    <col min="5128" max="5129" width="17.7109375" customWidth="1"/>
    <col min="5130" max="5130" width="51.28515625" customWidth="1"/>
    <col min="5131" max="5131" width="17.7109375" customWidth="1"/>
    <col min="5377" max="5377" width="65.140625" customWidth="1"/>
    <col min="5378" max="5378" width="26.85546875" customWidth="1"/>
    <col min="5379" max="5382" width="17.7109375" customWidth="1"/>
    <col min="5383" max="5383" width="19.42578125" customWidth="1"/>
    <col min="5384" max="5385" width="17.7109375" customWidth="1"/>
    <col min="5386" max="5386" width="51.28515625" customWidth="1"/>
    <col min="5387" max="5387" width="17.7109375" customWidth="1"/>
    <col min="5633" max="5633" width="65.140625" customWidth="1"/>
    <col min="5634" max="5634" width="26.85546875" customWidth="1"/>
    <col min="5635" max="5638" width="17.7109375" customWidth="1"/>
    <col min="5639" max="5639" width="19.42578125" customWidth="1"/>
    <col min="5640" max="5641" width="17.7109375" customWidth="1"/>
    <col min="5642" max="5642" width="51.28515625" customWidth="1"/>
    <col min="5643" max="5643" width="17.7109375" customWidth="1"/>
    <col min="5889" max="5889" width="65.140625" customWidth="1"/>
    <col min="5890" max="5890" width="26.85546875" customWidth="1"/>
    <col min="5891" max="5894" width="17.7109375" customWidth="1"/>
    <col min="5895" max="5895" width="19.42578125" customWidth="1"/>
    <col min="5896" max="5897" width="17.7109375" customWidth="1"/>
    <col min="5898" max="5898" width="51.28515625" customWidth="1"/>
    <col min="5899" max="5899" width="17.7109375" customWidth="1"/>
    <col min="6145" max="6145" width="65.140625" customWidth="1"/>
    <col min="6146" max="6146" width="26.85546875" customWidth="1"/>
    <col min="6147" max="6150" width="17.7109375" customWidth="1"/>
    <col min="6151" max="6151" width="19.42578125" customWidth="1"/>
    <col min="6152" max="6153" width="17.7109375" customWidth="1"/>
    <col min="6154" max="6154" width="51.28515625" customWidth="1"/>
    <col min="6155" max="6155" width="17.7109375" customWidth="1"/>
    <col min="6401" max="6401" width="65.140625" customWidth="1"/>
    <col min="6402" max="6402" width="26.85546875" customWidth="1"/>
    <col min="6403" max="6406" width="17.7109375" customWidth="1"/>
    <col min="6407" max="6407" width="19.42578125" customWidth="1"/>
    <col min="6408" max="6409" width="17.7109375" customWidth="1"/>
    <col min="6410" max="6410" width="51.28515625" customWidth="1"/>
    <col min="6411" max="6411" width="17.7109375" customWidth="1"/>
    <col min="6657" max="6657" width="65.140625" customWidth="1"/>
    <col min="6658" max="6658" width="26.85546875" customWidth="1"/>
    <col min="6659" max="6662" width="17.7109375" customWidth="1"/>
    <col min="6663" max="6663" width="19.42578125" customWidth="1"/>
    <col min="6664" max="6665" width="17.7109375" customWidth="1"/>
    <col min="6666" max="6666" width="51.28515625" customWidth="1"/>
    <col min="6667" max="6667" width="17.7109375" customWidth="1"/>
    <col min="6913" max="6913" width="65.140625" customWidth="1"/>
    <col min="6914" max="6914" width="26.85546875" customWidth="1"/>
    <col min="6915" max="6918" width="17.7109375" customWidth="1"/>
    <col min="6919" max="6919" width="19.42578125" customWidth="1"/>
    <col min="6920" max="6921" width="17.7109375" customWidth="1"/>
    <col min="6922" max="6922" width="51.28515625" customWidth="1"/>
    <col min="6923" max="6923" width="17.7109375" customWidth="1"/>
    <col min="7169" max="7169" width="65.140625" customWidth="1"/>
    <col min="7170" max="7170" width="26.85546875" customWidth="1"/>
    <col min="7171" max="7174" width="17.7109375" customWidth="1"/>
    <col min="7175" max="7175" width="19.42578125" customWidth="1"/>
    <col min="7176" max="7177" width="17.7109375" customWidth="1"/>
    <col min="7178" max="7178" width="51.28515625" customWidth="1"/>
    <col min="7179" max="7179" width="17.7109375" customWidth="1"/>
    <col min="7425" max="7425" width="65.140625" customWidth="1"/>
    <col min="7426" max="7426" width="26.85546875" customWidth="1"/>
    <col min="7427" max="7430" width="17.7109375" customWidth="1"/>
    <col min="7431" max="7431" width="19.42578125" customWidth="1"/>
    <col min="7432" max="7433" width="17.7109375" customWidth="1"/>
    <col min="7434" max="7434" width="51.28515625" customWidth="1"/>
    <col min="7435" max="7435" width="17.7109375" customWidth="1"/>
    <col min="7681" max="7681" width="65.140625" customWidth="1"/>
    <col min="7682" max="7682" width="26.85546875" customWidth="1"/>
    <col min="7683" max="7686" width="17.7109375" customWidth="1"/>
    <col min="7687" max="7687" width="19.42578125" customWidth="1"/>
    <col min="7688" max="7689" width="17.7109375" customWidth="1"/>
    <col min="7690" max="7690" width="51.28515625" customWidth="1"/>
    <col min="7691" max="7691" width="17.7109375" customWidth="1"/>
    <col min="7937" max="7937" width="65.140625" customWidth="1"/>
    <col min="7938" max="7938" width="26.85546875" customWidth="1"/>
    <col min="7939" max="7942" width="17.7109375" customWidth="1"/>
    <col min="7943" max="7943" width="19.42578125" customWidth="1"/>
    <col min="7944" max="7945" width="17.7109375" customWidth="1"/>
    <col min="7946" max="7946" width="51.28515625" customWidth="1"/>
    <col min="7947" max="7947" width="17.7109375" customWidth="1"/>
    <col min="8193" max="8193" width="65.140625" customWidth="1"/>
    <col min="8194" max="8194" width="26.85546875" customWidth="1"/>
    <col min="8195" max="8198" width="17.7109375" customWidth="1"/>
    <col min="8199" max="8199" width="19.42578125" customWidth="1"/>
    <col min="8200" max="8201" width="17.7109375" customWidth="1"/>
    <col min="8202" max="8202" width="51.28515625" customWidth="1"/>
    <col min="8203" max="8203" width="17.7109375" customWidth="1"/>
    <col min="8449" max="8449" width="65.140625" customWidth="1"/>
    <col min="8450" max="8450" width="26.85546875" customWidth="1"/>
    <col min="8451" max="8454" width="17.7109375" customWidth="1"/>
    <col min="8455" max="8455" width="19.42578125" customWidth="1"/>
    <col min="8456" max="8457" width="17.7109375" customWidth="1"/>
    <col min="8458" max="8458" width="51.28515625" customWidth="1"/>
    <col min="8459" max="8459" width="17.7109375" customWidth="1"/>
    <col min="8705" max="8705" width="65.140625" customWidth="1"/>
    <col min="8706" max="8706" width="26.85546875" customWidth="1"/>
    <col min="8707" max="8710" width="17.7109375" customWidth="1"/>
    <col min="8711" max="8711" width="19.42578125" customWidth="1"/>
    <col min="8712" max="8713" width="17.7109375" customWidth="1"/>
    <col min="8714" max="8714" width="51.28515625" customWidth="1"/>
    <col min="8715" max="8715" width="17.7109375" customWidth="1"/>
    <col min="8961" max="8961" width="65.140625" customWidth="1"/>
    <col min="8962" max="8962" width="26.85546875" customWidth="1"/>
    <col min="8963" max="8966" width="17.7109375" customWidth="1"/>
    <col min="8967" max="8967" width="19.42578125" customWidth="1"/>
    <col min="8968" max="8969" width="17.7109375" customWidth="1"/>
    <col min="8970" max="8970" width="51.28515625" customWidth="1"/>
    <col min="8971" max="8971" width="17.7109375" customWidth="1"/>
    <col min="9217" max="9217" width="65.140625" customWidth="1"/>
    <col min="9218" max="9218" width="26.85546875" customWidth="1"/>
    <col min="9219" max="9222" width="17.7109375" customWidth="1"/>
    <col min="9223" max="9223" width="19.42578125" customWidth="1"/>
    <col min="9224" max="9225" width="17.7109375" customWidth="1"/>
    <col min="9226" max="9226" width="51.28515625" customWidth="1"/>
    <col min="9227" max="9227" width="17.7109375" customWidth="1"/>
    <col min="9473" max="9473" width="65.140625" customWidth="1"/>
    <col min="9474" max="9474" width="26.85546875" customWidth="1"/>
    <col min="9475" max="9478" width="17.7109375" customWidth="1"/>
    <col min="9479" max="9479" width="19.42578125" customWidth="1"/>
    <col min="9480" max="9481" width="17.7109375" customWidth="1"/>
    <col min="9482" max="9482" width="51.28515625" customWidth="1"/>
    <col min="9483" max="9483" width="17.7109375" customWidth="1"/>
    <col min="9729" max="9729" width="65.140625" customWidth="1"/>
    <col min="9730" max="9730" width="26.85546875" customWidth="1"/>
    <col min="9731" max="9734" width="17.7109375" customWidth="1"/>
    <col min="9735" max="9735" width="19.42578125" customWidth="1"/>
    <col min="9736" max="9737" width="17.7109375" customWidth="1"/>
    <col min="9738" max="9738" width="51.28515625" customWidth="1"/>
    <col min="9739" max="9739" width="17.7109375" customWidth="1"/>
    <col min="9985" max="9985" width="65.140625" customWidth="1"/>
    <col min="9986" max="9986" width="26.85546875" customWidth="1"/>
    <col min="9987" max="9990" width="17.7109375" customWidth="1"/>
    <col min="9991" max="9991" width="19.42578125" customWidth="1"/>
    <col min="9992" max="9993" width="17.7109375" customWidth="1"/>
    <col min="9994" max="9994" width="51.28515625" customWidth="1"/>
    <col min="9995" max="9995" width="17.7109375" customWidth="1"/>
    <col min="10241" max="10241" width="65.140625" customWidth="1"/>
    <col min="10242" max="10242" width="26.85546875" customWidth="1"/>
    <col min="10243" max="10246" width="17.7109375" customWidth="1"/>
    <col min="10247" max="10247" width="19.42578125" customWidth="1"/>
    <col min="10248" max="10249" width="17.7109375" customWidth="1"/>
    <col min="10250" max="10250" width="51.28515625" customWidth="1"/>
    <col min="10251" max="10251" width="17.7109375" customWidth="1"/>
    <col min="10497" max="10497" width="65.140625" customWidth="1"/>
    <col min="10498" max="10498" width="26.85546875" customWidth="1"/>
    <col min="10499" max="10502" width="17.7109375" customWidth="1"/>
    <col min="10503" max="10503" width="19.42578125" customWidth="1"/>
    <col min="10504" max="10505" width="17.7109375" customWidth="1"/>
    <col min="10506" max="10506" width="51.28515625" customWidth="1"/>
    <col min="10507" max="10507" width="17.7109375" customWidth="1"/>
    <col min="10753" max="10753" width="65.140625" customWidth="1"/>
    <col min="10754" max="10754" width="26.85546875" customWidth="1"/>
    <col min="10755" max="10758" width="17.7109375" customWidth="1"/>
    <col min="10759" max="10759" width="19.42578125" customWidth="1"/>
    <col min="10760" max="10761" width="17.7109375" customWidth="1"/>
    <col min="10762" max="10762" width="51.28515625" customWidth="1"/>
    <col min="10763" max="10763" width="17.7109375" customWidth="1"/>
    <col min="11009" max="11009" width="65.140625" customWidth="1"/>
    <col min="11010" max="11010" width="26.85546875" customWidth="1"/>
    <col min="11011" max="11014" width="17.7109375" customWidth="1"/>
    <col min="11015" max="11015" width="19.42578125" customWidth="1"/>
    <col min="11016" max="11017" width="17.7109375" customWidth="1"/>
    <col min="11018" max="11018" width="51.28515625" customWidth="1"/>
    <col min="11019" max="11019" width="17.7109375" customWidth="1"/>
    <col min="11265" max="11265" width="65.140625" customWidth="1"/>
    <col min="11266" max="11266" width="26.85546875" customWidth="1"/>
    <col min="11267" max="11270" width="17.7109375" customWidth="1"/>
    <col min="11271" max="11271" width="19.42578125" customWidth="1"/>
    <col min="11272" max="11273" width="17.7109375" customWidth="1"/>
    <col min="11274" max="11274" width="51.28515625" customWidth="1"/>
    <col min="11275" max="11275" width="17.7109375" customWidth="1"/>
    <col min="11521" max="11521" width="65.140625" customWidth="1"/>
    <col min="11522" max="11522" width="26.85546875" customWidth="1"/>
    <col min="11523" max="11526" width="17.7109375" customWidth="1"/>
    <col min="11527" max="11527" width="19.42578125" customWidth="1"/>
    <col min="11528" max="11529" width="17.7109375" customWidth="1"/>
    <col min="11530" max="11530" width="51.28515625" customWidth="1"/>
    <col min="11531" max="11531" width="17.7109375" customWidth="1"/>
    <col min="11777" max="11777" width="65.140625" customWidth="1"/>
    <col min="11778" max="11778" width="26.85546875" customWidth="1"/>
    <col min="11779" max="11782" width="17.7109375" customWidth="1"/>
    <col min="11783" max="11783" width="19.42578125" customWidth="1"/>
    <col min="11784" max="11785" width="17.7109375" customWidth="1"/>
    <col min="11786" max="11786" width="51.28515625" customWidth="1"/>
    <col min="11787" max="11787" width="17.7109375" customWidth="1"/>
    <col min="12033" max="12033" width="65.140625" customWidth="1"/>
    <col min="12034" max="12034" width="26.85546875" customWidth="1"/>
    <col min="12035" max="12038" width="17.7109375" customWidth="1"/>
    <col min="12039" max="12039" width="19.42578125" customWidth="1"/>
    <col min="12040" max="12041" width="17.7109375" customWidth="1"/>
    <col min="12042" max="12042" width="51.28515625" customWidth="1"/>
    <col min="12043" max="12043" width="17.7109375" customWidth="1"/>
    <col min="12289" max="12289" width="65.140625" customWidth="1"/>
    <col min="12290" max="12290" width="26.85546875" customWidth="1"/>
    <col min="12291" max="12294" width="17.7109375" customWidth="1"/>
    <col min="12295" max="12295" width="19.42578125" customWidth="1"/>
    <col min="12296" max="12297" width="17.7109375" customWidth="1"/>
    <col min="12298" max="12298" width="51.28515625" customWidth="1"/>
    <col min="12299" max="12299" width="17.7109375" customWidth="1"/>
    <col min="12545" max="12545" width="65.140625" customWidth="1"/>
    <col min="12546" max="12546" width="26.85546875" customWidth="1"/>
    <col min="12547" max="12550" width="17.7109375" customWidth="1"/>
    <col min="12551" max="12551" width="19.42578125" customWidth="1"/>
    <col min="12552" max="12553" width="17.7109375" customWidth="1"/>
    <col min="12554" max="12554" width="51.28515625" customWidth="1"/>
    <col min="12555" max="12555" width="17.7109375" customWidth="1"/>
    <col min="12801" max="12801" width="65.140625" customWidth="1"/>
    <col min="12802" max="12802" width="26.85546875" customWidth="1"/>
    <col min="12803" max="12806" width="17.7109375" customWidth="1"/>
    <col min="12807" max="12807" width="19.42578125" customWidth="1"/>
    <col min="12808" max="12809" width="17.7109375" customWidth="1"/>
    <col min="12810" max="12810" width="51.28515625" customWidth="1"/>
    <col min="12811" max="12811" width="17.7109375" customWidth="1"/>
    <col min="13057" max="13057" width="65.140625" customWidth="1"/>
    <col min="13058" max="13058" width="26.85546875" customWidth="1"/>
    <col min="13059" max="13062" width="17.7109375" customWidth="1"/>
    <col min="13063" max="13063" width="19.42578125" customWidth="1"/>
    <col min="13064" max="13065" width="17.7109375" customWidth="1"/>
    <col min="13066" max="13066" width="51.28515625" customWidth="1"/>
    <col min="13067" max="13067" width="17.7109375" customWidth="1"/>
    <col min="13313" max="13313" width="65.140625" customWidth="1"/>
    <col min="13314" max="13314" width="26.85546875" customWidth="1"/>
    <col min="13315" max="13318" width="17.7109375" customWidth="1"/>
    <col min="13319" max="13319" width="19.42578125" customWidth="1"/>
    <col min="13320" max="13321" width="17.7109375" customWidth="1"/>
    <col min="13322" max="13322" width="51.28515625" customWidth="1"/>
    <col min="13323" max="13323" width="17.7109375" customWidth="1"/>
    <col min="13569" max="13569" width="65.140625" customWidth="1"/>
    <col min="13570" max="13570" width="26.85546875" customWidth="1"/>
    <col min="13571" max="13574" width="17.7109375" customWidth="1"/>
    <col min="13575" max="13575" width="19.42578125" customWidth="1"/>
    <col min="13576" max="13577" width="17.7109375" customWidth="1"/>
    <col min="13578" max="13578" width="51.28515625" customWidth="1"/>
    <col min="13579" max="13579" width="17.7109375" customWidth="1"/>
    <col min="13825" max="13825" width="65.140625" customWidth="1"/>
    <col min="13826" max="13826" width="26.85546875" customWidth="1"/>
    <col min="13827" max="13830" width="17.7109375" customWidth="1"/>
    <col min="13831" max="13831" width="19.42578125" customWidth="1"/>
    <col min="13832" max="13833" width="17.7109375" customWidth="1"/>
    <col min="13834" max="13834" width="51.28515625" customWidth="1"/>
    <col min="13835" max="13835" width="17.7109375" customWidth="1"/>
    <col min="14081" max="14081" width="65.140625" customWidth="1"/>
    <col min="14082" max="14082" width="26.85546875" customWidth="1"/>
    <col min="14083" max="14086" width="17.7109375" customWidth="1"/>
    <col min="14087" max="14087" width="19.42578125" customWidth="1"/>
    <col min="14088" max="14089" width="17.7109375" customWidth="1"/>
    <col min="14090" max="14090" width="51.28515625" customWidth="1"/>
    <col min="14091" max="14091" width="17.7109375" customWidth="1"/>
    <col min="14337" max="14337" width="65.140625" customWidth="1"/>
    <col min="14338" max="14338" width="26.85546875" customWidth="1"/>
    <col min="14339" max="14342" width="17.7109375" customWidth="1"/>
    <col min="14343" max="14343" width="19.42578125" customWidth="1"/>
    <col min="14344" max="14345" width="17.7109375" customWidth="1"/>
    <col min="14346" max="14346" width="51.28515625" customWidth="1"/>
    <col min="14347" max="14347" width="17.7109375" customWidth="1"/>
    <col min="14593" max="14593" width="65.140625" customWidth="1"/>
    <col min="14594" max="14594" width="26.85546875" customWidth="1"/>
    <col min="14595" max="14598" width="17.7109375" customWidth="1"/>
    <col min="14599" max="14599" width="19.42578125" customWidth="1"/>
    <col min="14600" max="14601" width="17.7109375" customWidth="1"/>
    <col min="14602" max="14602" width="51.28515625" customWidth="1"/>
    <col min="14603" max="14603" width="17.7109375" customWidth="1"/>
    <col min="14849" max="14849" width="65.140625" customWidth="1"/>
    <col min="14850" max="14850" width="26.85546875" customWidth="1"/>
    <col min="14851" max="14854" width="17.7109375" customWidth="1"/>
    <col min="14855" max="14855" width="19.42578125" customWidth="1"/>
    <col min="14856" max="14857" width="17.7109375" customWidth="1"/>
    <col min="14858" max="14858" width="51.28515625" customWidth="1"/>
    <col min="14859" max="14859" width="17.7109375" customWidth="1"/>
    <col min="15105" max="15105" width="65.140625" customWidth="1"/>
    <col min="15106" max="15106" width="26.85546875" customWidth="1"/>
    <col min="15107" max="15110" width="17.7109375" customWidth="1"/>
    <col min="15111" max="15111" width="19.42578125" customWidth="1"/>
    <col min="15112" max="15113" width="17.7109375" customWidth="1"/>
    <col min="15114" max="15114" width="51.28515625" customWidth="1"/>
    <col min="15115" max="15115" width="17.7109375" customWidth="1"/>
    <col min="15361" max="15361" width="65.140625" customWidth="1"/>
    <col min="15362" max="15362" width="26.85546875" customWidth="1"/>
    <col min="15363" max="15366" width="17.7109375" customWidth="1"/>
    <col min="15367" max="15367" width="19.42578125" customWidth="1"/>
    <col min="15368" max="15369" width="17.7109375" customWidth="1"/>
    <col min="15370" max="15370" width="51.28515625" customWidth="1"/>
    <col min="15371" max="15371" width="17.7109375" customWidth="1"/>
    <col min="15617" max="15617" width="65.140625" customWidth="1"/>
    <col min="15618" max="15618" width="26.85546875" customWidth="1"/>
    <col min="15619" max="15622" width="17.7109375" customWidth="1"/>
    <col min="15623" max="15623" width="19.42578125" customWidth="1"/>
    <col min="15624" max="15625" width="17.7109375" customWidth="1"/>
    <col min="15626" max="15626" width="51.28515625" customWidth="1"/>
    <col min="15627" max="15627" width="17.7109375" customWidth="1"/>
    <col min="15873" max="15873" width="65.140625" customWidth="1"/>
    <col min="15874" max="15874" width="26.85546875" customWidth="1"/>
    <col min="15875" max="15878" width="17.7109375" customWidth="1"/>
    <col min="15879" max="15879" width="19.42578125" customWidth="1"/>
    <col min="15880" max="15881" width="17.7109375" customWidth="1"/>
    <col min="15882" max="15882" width="51.28515625" customWidth="1"/>
    <col min="15883" max="15883" width="17.7109375" customWidth="1"/>
    <col min="16129" max="16129" width="65.140625" customWidth="1"/>
    <col min="16130" max="16130" width="26.85546875" customWidth="1"/>
    <col min="16131" max="16134" width="17.7109375" customWidth="1"/>
    <col min="16135" max="16135" width="19.42578125" customWidth="1"/>
    <col min="16136" max="16137" width="17.7109375" customWidth="1"/>
    <col min="16138" max="16138" width="51.28515625" customWidth="1"/>
    <col min="16139" max="16139" width="17.7109375" customWidth="1"/>
  </cols>
  <sheetData>
    <row r="1" spans="1:11" s="177" customFormat="1" ht="21" customHeight="1">
      <c r="A1" s="175" t="s">
        <v>235</v>
      </c>
      <c r="B1" s="176"/>
    </row>
    <row r="2" spans="1:11" s="177" customFormat="1" ht="19.5" customHeight="1">
      <c r="A2" s="178" t="s">
        <v>2251</v>
      </c>
      <c r="B2" s="176"/>
      <c r="C2" s="179"/>
      <c r="D2" s="179"/>
      <c r="E2" s="179"/>
      <c r="F2" s="179"/>
      <c r="G2" s="179"/>
      <c r="H2" s="179"/>
      <c r="I2" s="179"/>
      <c r="J2" s="179"/>
      <c r="K2" s="180" t="s">
        <v>234</v>
      </c>
    </row>
    <row r="3" spans="1:11" s="177" customFormat="1" ht="22.5" customHeight="1">
      <c r="A3" s="181" t="s">
        <v>802</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184" t="s">
        <v>228</v>
      </c>
      <c r="B5" s="184" t="s">
        <v>227</v>
      </c>
      <c r="C5" s="184" t="s">
        <v>226</v>
      </c>
      <c r="D5" s="184"/>
      <c r="E5" s="183" t="s">
        <v>225</v>
      </c>
      <c r="F5" s="183"/>
      <c r="G5" s="184" t="s">
        <v>224</v>
      </c>
      <c r="H5" s="1381" t="s">
        <v>223</v>
      </c>
      <c r="I5" s="1381"/>
      <c r="J5" s="184" t="s">
        <v>222</v>
      </c>
      <c r="K5" s="184" t="s">
        <v>221</v>
      </c>
    </row>
    <row r="6" spans="1:11" s="186" customFormat="1">
      <c r="A6" s="1382" t="s">
        <v>220</v>
      </c>
      <c r="B6" s="1379" t="s">
        <v>219</v>
      </c>
      <c r="C6" s="1379" t="s">
        <v>218</v>
      </c>
      <c r="D6" s="1379" t="s">
        <v>217</v>
      </c>
      <c r="E6" s="1379" t="s">
        <v>216</v>
      </c>
      <c r="F6" s="1379"/>
      <c r="G6" s="1379" t="s">
        <v>215</v>
      </c>
      <c r="H6" s="1379" t="s">
        <v>214</v>
      </c>
      <c r="I6" s="1379"/>
      <c r="J6" s="1379" t="s">
        <v>240</v>
      </c>
      <c r="K6" s="1380" t="s">
        <v>212</v>
      </c>
    </row>
    <row r="7" spans="1:11" s="186" customFormat="1">
      <c r="A7" s="1382"/>
      <c r="B7" s="1379"/>
      <c r="C7" s="1379"/>
      <c r="D7" s="1379"/>
      <c r="E7" s="187" t="s">
        <v>211</v>
      </c>
      <c r="F7" s="187" t="s">
        <v>210</v>
      </c>
      <c r="G7" s="1379"/>
      <c r="H7" s="187" t="s">
        <v>211</v>
      </c>
      <c r="I7" s="187" t="s">
        <v>210</v>
      </c>
      <c r="J7" s="1379"/>
      <c r="K7" s="1380"/>
    </row>
    <row r="8" spans="1:11" ht="15.95" customHeight="1">
      <c r="A8" s="188" t="s">
        <v>208</v>
      </c>
      <c r="B8" s="189"/>
      <c r="C8" s="189"/>
      <c r="D8" s="189"/>
      <c r="E8" s="189"/>
      <c r="F8" s="189"/>
      <c r="G8" s="189"/>
      <c r="H8" s="189"/>
      <c r="I8" s="189"/>
      <c r="J8" s="189"/>
      <c r="K8" s="190">
        <f>SUM(K9)</f>
        <v>0</v>
      </c>
    </row>
    <row r="9" spans="1:11" ht="19.5" hidden="1" customHeight="1">
      <c r="A9" s="192"/>
      <c r="B9" s="193"/>
      <c r="C9" s="193"/>
      <c r="D9" s="194"/>
      <c r="E9" s="194"/>
      <c r="F9" s="194"/>
      <c r="G9" s="193"/>
      <c r="H9" s="193"/>
      <c r="I9" s="193"/>
      <c r="J9" s="193"/>
      <c r="K9" s="195"/>
    </row>
    <row r="10" spans="1:11" ht="15.95" customHeight="1">
      <c r="A10" s="188" t="s">
        <v>207</v>
      </c>
      <c r="B10" s="189"/>
      <c r="C10" s="189"/>
      <c r="D10" s="196"/>
      <c r="E10" s="196"/>
      <c r="F10" s="196"/>
      <c r="G10" s="189"/>
      <c r="H10" s="189"/>
      <c r="I10" s="189"/>
      <c r="J10" s="189"/>
      <c r="K10" s="190">
        <f>SUM(K11:K20)</f>
        <v>2866177.22</v>
      </c>
    </row>
    <row r="11" spans="1:11" ht="15.95" customHeight="1">
      <c r="A11" s="1219" t="s">
        <v>256</v>
      </c>
      <c r="B11" s="193" t="s">
        <v>2252</v>
      </c>
      <c r="C11" s="193" t="s">
        <v>205</v>
      </c>
      <c r="D11" s="194"/>
      <c r="E11" s="194" t="s">
        <v>2253</v>
      </c>
      <c r="F11" s="194" t="s">
        <v>2254</v>
      </c>
      <c r="G11" s="193"/>
      <c r="H11" s="193"/>
      <c r="I11" s="193"/>
      <c r="J11" s="193" t="s">
        <v>2255</v>
      </c>
      <c r="K11" s="195">
        <v>155151.88</v>
      </c>
    </row>
    <row r="12" spans="1:11" ht="15.95" customHeight="1">
      <c r="A12" s="192" t="s">
        <v>2256</v>
      </c>
      <c r="B12" s="237"/>
      <c r="C12" s="237"/>
      <c r="D12" s="558">
        <v>0.24695600000000001</v>
      </c>
      <c r="E12" s="194"/>
      <c r="F12" s="194"/>
      <c r="G12" s="193"/>
      <c r="H12" s="193"/>
      <c r="I12" s="193"/>
      <c r="J12" s="193" t="s">
        <v>2257</v>
      </c>
      <c r="K12" s="195">
        <v>877649.97</v>
      </c>
    </row>
    <row r="13" spans="1:11" ht="15.95" customHeight="1">
      <c r="A13" s="192" t="s">
        <v>2258</v>
      </c>
      <c r="B13" s="193" t="s">
        <v>2252</v>
      </c>
      <c r="C13" s="193" t="s">
        <v>2259</v>
      </c>
      <c r="D13" s="194"/>
      <c r="E13" s="194"/>
      <c r="F13" s="194"/>
      <c r="G13" s="193"/>
      <c r="H13" s="193">
        <v>440</v>
      </c>
      <c r="I13" s="193">
        <v>870</v>
      </c>
      <c r="J13" s="193" t="s">
        <v>2260</v>
      </c>
      <c r="K13" s="195">
        <v>120071.97</v>
      </c>
    </row>
    <row r="14" spans="1:11" ht="15.95" customHeight="1">
      <c r="A14" s="192" t="s">
        <v>2261</v>
      </c>
      <c r="B14" s="193" t="s">
        <v>2262</v>
      </c>
      <c r="C14" s="193" t="s">
        <v>205</v>
      </c>
      <c r="D14" s="194" t="s">
        <v>2263</v>
      </c>
      <c r="E14" s="194" t="s">
        <v>2264</v>
      </c>
      <c r="F14" s="194" t="s">
        <v>2265</v>
      </c>
      <c r="G14" s="193"/>
      <c r="H14" s="193"/>
      <c r="I14" s="193"/>
      <c r="J14" s="193" t="s">
        <v>2266</v>
      </c>
      <c r="K14" s="195">
        <v>1270918.22</v>
      </c>
    </row>
    <row r="15" spans="1:11" ht="15.95" customHeight="1">
      <c r="A15" s="192" t="s">
        <v>2267</v>
      </c>
      <c r="B15" s="193"/>
      <c r="C15" s="193" t="s">
        <v>283</v>
      </c>
      <c r="D15" s="194"/>
      <c r="E15" s="194"/>
      <c r="F15" s="194"/>
      <c r="G15" s="193"/>
      <c r="H15" s="237">
        <v>120000</v>
      </c>
      <c r="I15" s="237">
        <v>190000</v>
      </c>
      <c r="J15" s="1220" t="s">
        <v>2268</v>
      </c>
      <c r="K15" s="195">
        <v>380000</v>
      </c>
    </row>
    <row r="16" spans="1:11" ht="15.95" customHeight="1">
      <c r="A16" s="192" t="s">
        <v>2269</v>
      </c>
      <c r="B16" s="193" t="s">
        <v>2270</v>
      </c>
      <c r="C16" s="193"/>
      <c r="D16" s="194">
        <v>0.1</v>
      </c>
      <c r="E16" s="194"/>
      <c r="F16" s="194"/>
      <c r="G16" s="193"/>
      <c r="H16" s="193"/>
      <c r="I16" s="193"/>
      <c r="J16" s="193" t="s">
        <v>2271</v>
      </c>
      <c r="K16" s="195">
        <v>62385.18</v>
      </c>
    </row>
    <row r="17" spans="1:11" ht="15.95" hidden="1" customHeight="1">
      <c r="A17" s="192"/>
      <c r="B17" s="193"/>
      <c r="C17" s="193"/>
      <c r="D17" s="194"/>
      <c r="E17" s="194"/>
      <c r="F17" s="194"/>
      <c r="G17" s="193"/>
      <c r="H17" s="193"/>
      <c r="I17" s="193"/>
      <c r="J17" s="193"/>
      <c r="K17" s="195"/>
    </row>
    <row r="18" spans="1:11" ht="15.95" hidden="1" customHeight="1">
      <c r="A18" s="192"/>
      <c r="B18" s="193"/>
      <c r="C18" s="193"/>
      <c r="D18" s="194"/>
      <c r="E18" s="194"/>
      <c r="F18" s="194"/>
      <c r="G18" s="193"/>
      <c r="H18" s="193"/>
      <c r="I18" s="193"/>
      <c r="J18" s="193"/>
      <c r="K18" s="195"/>
    </row>
    <row r="19" spans="1:11" ht="15.95" hidden="1" customHeight="1">
      <c r="A19" s="192"/>
      <c r="B19" s="193"/>
      <c r="C19" s="193"/>
      <c r="D19" s="194"/>
      <c r="E19" s="194"/>
      <c r="F19" s="194"/>
      <c r="G19" s="193"/>
      <c r="H19" s="193"/>
      <c r="I19" s="193"/>
      <c r="J19" s="193"/>
      <c r="K19" s="195"/>
    </row>
    <row r="20" spans="1:11" ht="15.95" hidden="1" customHeight="1">
      <c r="A20" s="192"/>
      <c r="B20" s="193"/>
      <c r="C20" s="193"/>
      <c r="D20" s="194"/>
      <c r="E20" s="194"/>
      <c r="F20" s="194"/>
      <c r="G20" s="193"/>
      <c r="H20" s="193"/>
      <c r="I20" s="193"/>
      <c r="J20" s="193"/>
      <c r="K20" s="195"/>
    </row>
    <row r="21" spans="1:11" s="177" customFormat="1" ht="15.95" customHeight="1">
      <c r="A21" s="209" t="s">
        <v>191</v>
      </c>
      <c r="B21" s="210"/>
      <c r="C21" s="210"/>
      <c r="D21" s="211"/>
      <c r="E21" s="211"/>
      <c r="F21" s="211"/>
      <c r="G21" s="210"/>
      <c r="H21" s="210"/>
      <c r="I21" s="210"/>
      <c r="J21" s="210"/>
      <c r="K21" s="213">
        <f>SUM(K22:K23)</f>
        <v>0</v>
      </c>
    </row>
    <row r="22" spans="1:11" s="177" customFormat="1" ht="15.95" hidden="1" customHeight="1">
      <c r="A22" s="192"/>
      <c r="B22" s="217"/>
      <c r="C22" s="217"/>
      <c r="D22" s="216"/>
      <c r="E22" s="216"/>
      <c r="F22" s="216"/>
      <c r="G22" s="217"/>
      <c r="H22" s="217"/>
      <c r="I22" s="217"/>
      <c r="J22" s="217"/>
      <c r="K22" s="219"/>
    </row>
    <row r="23" spans="1:11" s="177" customFormat="1" ht="15.95" hidden="1" customHeight="1">
      <c r="A23" s="192"/>
      <c r="B23" s="217"/>
      <c r="C23" s="217"/>
      <c r="D23" s="216"/>
      <c r="E23" s="216"/>
      <c r="F23" s="216"/>
      <c r="G23" s="217"/>
      <c r="H23" s="217"/>
      <c r="I23" s="217"/>
      <c r="J23" s="217"/>
      <c r="K23" s="219"/>
    </row>
    <row r="24" spans="1:11" ht="15.95" customHeight="1">
      <c r="A24" s="188" t="s">
        <v>179</v>
      </c>
      <c r="B24" s="189"/>
      <c r="C24" s="189"/>
      <c r="D24" s="196"/>
      <c r="E24" s="196"/>
      <c r="F24" s="196"/>
      <c r="G24" s="189"/>
      <c r="H24" s="189"/>
      <c r="I24" s="189"/>
      <c r="J24" s="189"/>
      <c r="K24" s="190">
        <f>SUM(K25:K31)</f>
        <v>3011193.3499999996</v>
      </c>
    </row>
    <row r="25" spans="1:11" ht="15.95" customHeight="1">
      <c r="A25" s="192" t="s">
        <v>298</v>
      </c>
      <c r="B25" s="193"/>
      <c r="C25" s="193"/>
      <c r="D25" s="194"/>
      <c r="E25" s="194"/>
      <c r="F25" s="194"/>
      <c r="G25" s="193"/>
      <c r="H25" s="193">
        <v>90</v>
      </c>
      <c r="I25" s="193">
        <v>6680</v>
      </c>
      <c r="J25" s="193" t="s">
        <v>2272</v>
      </c>
      <c r="K25" s="195">
        <f>35127.71+2376947.4</f>
        <v>2412075.11</v>
      </c>
    </row>
    <row r="26" spans="1:11" ht="15.95" customHeight="1">
      <c r="A26" s="192" t="s">
        <v>311</v>
      </c>
      <c r="B26" s="193"/>
      <c r="C26" s="193"/>
      <c r="D26" s="194"/>
      <c r="E26" s="194"/>
      <c r="F26" s="194"/>
      <c r="G26" s="193"/>
      <c r="H26" s="193">
        <v>170</v>
      </c>
      <c r="I26" s="193">
        <v>15830</v>
      </c>
      <c r="J26" s="193" t="s">
        <v>2273</v>
      </c>
      <c r="K26" s="195">
        <v>271147.88</v>
      </c>
    </row>
    <row r="27" spans="1:11" ht="15.95" customHeight="1">
      <c r="A27" s="192" t="s">
        <v>2205</v>
      </c>
      <c r="B27" s="193"/>
      <c r="C27" s="193" t="s">
        <v>283</v>
      </c>
      <c r="D27" s="194"/>
      <c r="E27" s="194"/>
      <c r="F27" s="194"/>
      <c r="G27" s="193"/>
      <c r="H27" s="193">
        <v>860</v>
      </c>
      <c r="I27" s="193">
        <v>7600</v>
      </c>
      <c r="J27" s="193" t="s">
        <v>2274</v>
      </c>
      <c r="K27" s="195">
        <v>177753.36</v>
      </c>
    </row>
    <row r="28" spans="1:11" ht="15.95" customHeight="1">
      <c r="A28" s="192" t="s">
        <v>2275</v>
      </c>
      <c r="B28" s="193"/>
      <c r="C28" s="193"/>
      <c r="D28" s="194"/>
      <c r="E28" s="194"/>
      <c r="F28" s="194"/>
      <c r="G28" s="193"/>
      <c r="H28" s="193"/>
      <c r="I28" s="193"/>
      <c r="J28" s="193" t="s">
        <v>2276</v>
      </c>
      <c r="K28" s="195">
        <v>21417</v>
      </c>
    </row>
    <row r="29" spans="1:11" ht="15.95" customHeight="1">
      <c r="A29" s="192" t="s">
        <v>1847</v>
      </c>
      <c r="B29" s="193"/>
      <c r="C29" s="193"/>
      <c r="D29" s="194"/>
      <c r="E29" s="194"/>
      <c r="F29" s="194"/>
      <c r="G29" s="193">
        <v>1500</v>
      </c>
      <c r="H29" s="193"/>
      <c r="I29" s="193"/>
      <c r="J29" s="193" t="s">
        <v>2272</v>
      </c>
      <c r="K29" s="195">
        <v>128800</v>
      </c>
    </row>
    <row r="30" spans="1:11" ht="15.95" hidden="1" customHeight="1">
      <c r="A30" s="192"/>
      <c r="B30" s="193"/>
      <c r="C30" s="193"/>
      <c r="D30" s="194"/>
      <c r="E30" s="194"/>
      <c r="F30" s="194"/>
      <c r="G30" s="193"/>
      <c r="H30" s="193"/>
      <c r="I30" s="193"/>
      <c r="J30" s="193"/>
      <c r="K30" s="195"/>
    </row>
    <row r="31" spans="1:11" ht="15.95" hidden="1" customHeight="1">
      <c r="A31" s="192"/>
      <c r="B31" s="193"/>
      <c r="C31" s="193"/>
      <c r="D31" s="194"/>
      <c r="E31" s="194"/>
      <c r="F31" s="194"/>
      <c r="G31" s="193"/>
      <c r="H31" s="193"/>
      <c r="I31" s="193"/>
      <c r="J31" s="193"/>
      <c r="K31" s="195"/>
    </row>
    <row r="32" spans="1:11" ht="15.95" customHeight="1">
      <c r="A32" s="188" t="s">
        <v>152</v>
      </c>
      <c r="B32" s="189"/>
      <c r="C32" s="189"/>
      <c r="D32" s="196"/>
      <c r="E32" s="196"/>
      <c r="F32" s="196"/>
      <c r="G32" s="189"/>
      <c r="H32" s="189"/>
      <c r="I32" s="189"/>
      <c r="J32" s="189"/>
      <c r="K32" s="190">
        <f>SUM(K33:K35)</f>
        <v>0</v>
      </c>
    </row>
    <row r="33" spans="1:11" ht="15.95" hidden="1" customHeight="1">
      <c r="A33" s="256"/>
      <c r="B33" s="193"/>
      <c r="C33" s="193"/>
      <c r="D33" s="194"/>
      <c r="E33" s="194"/>
      <c r="F33" s="194"/>
      <c r="G33" s="193"/>
      <c r="H33" s="193"/>
      <c r="I33" s="193"/>
      <c r="J33" s="193"/>
      <c r="K33" s="195"/>
    </row>
    <row r="34" spans="1:11" ht="15.95" hidden="1" customHeight="1">
      <c r="A34" s="256"/>
      <c r="B34" s="193"/>
      <c r="C34" s="193"/>
      <c r="D34" s="194"/>
      <c r="E34" s="194"/>
      <c r="F34" s="194"/>
      <c r="G34" s="193"/>
      <c r="H34" s="193"/>
      <c r="I34" s="193"/>
      <c r="J34" s="193"/>
      <c r="K34" s="195"/>
    </row>
    <row r="35" spans="1:11" ht="15.95" hidden="1" customHeight="1">
      <c r="A35" s="256"/>
      <c r="B35" s="193"/>
      <c r="C35" s="193"/>
      <c r="D35" s="194"/>
      <c r="E35" s="194"/>
      <c r="F35" s="194"/>
      <c r="G35" s="193"/>
      <c r="H35" s="193"/>
      <c r="I35" s="193"/>
      <c r="J35" s="193"/>
      <c r="K35" s="195"/>
    </row>
    <row r="36" spans="1:11" ht="15.95" customHeight="1">
      <c r="A36" s="188" t="s">
        <v>151</v>
      </c>
      <c r="B36" s="189"/>
      <c r="C36" s="189"/>
      <c r="D36" s="196"/>
      <c r="E36" s="196"/>
      <c r="F36" s="196"/>
      <c r="G36" s="189"/>
      <c r="H36" s="189"/>
      <c r="I36" s="189"/>
      <c r="J36" s="189"/>
      <c r="K36" s="190">
        <f>SUM(K37:K39)</f>
        <v>0</v>
      </c>
    </row>
    <row r="37" spans="1:11" ht="15.95" hidden="1" customHeight="1">
      <c r="A37" s="256"/>
      <c r="B37" s="193"/>
      <c r="C37" s="193"/>
      <c r="D37" s="194"/>
      <c r="E37" s="194"/>
      <c r="F37" s="194"/>
      <c r="G37" s="193"/>
      <c r="H37" s="193"/>
      <c r="I37" s="193"/>
      <c r="J37" s="193"/>
      <c r="K37" s="195"/>
    </row>
    <row r="38" spans="1:11" ht="15.95" hidden="1" customHeight="1">
      <c r="A38" s="256"/>
      <c r="B38" s="193"/>
      <c r="C38" s="193"/>
      <c r="D38" s="194"/>
      <c r="E38" s="194"/>
      <c r="F38" s="194"/>
      <c r="G38" s="193"/>
      <c r="H38" s="193"/>
      <c r="I38" s="193"/>
      <c r="J38" s="193"/>
      <c r="K38" s="195"/>
    </row>
    <row r="39" spans="1:11" ht="15.95" hidden="1" customHeight="1">
      <c r="A39" s="256"/>
      <c r="B39" s="193"/>
      <c r="C39" s="193"/>
      <c r="D39" s="194"/>
      <c r="E39" s="194"/>
      <c r="F39" s="194"/>
      <c r="G39" s="193"/>
      <c r="H39" s="193"/>
      <c r="I39" s="193"/>
      <c r="J39" s="193"/>
      <c r="K39" s="195"/>
    </row>
    <row r="40" spans="1:11" s="177" customFormat="1" ht="15.95" customHeight="1">
      <c r="A40" s="209" t="s">
        <v>137</v>
      </c>
      <c r="B40" s="210"/>
      <c r="C40" s="210"/>
      <c r="D40" s="211"/>
      <c r="E40" s="211"/>
      <c r="F40" s="211"/>
      <c r="G40" s="210"/>
      <c r="H40" s="210"/>
      <c r="I40" s="210"/>
      <c r="J40" s="210"/>
      <c r="K40" s="213">
        <f>SUM(K41)</f>
        <v>0</v>
      </c>
    </row>
    <row r="41" spans="1:11" s="177" customFormat="1" ht="15.95" hidden="1" customHeight="1">
      <c r="A41" s="274"/>
      <c r="B41" s="217"/>
      <c r="C41" s="217"/>
      <c r="D41" s="216"/>
      <c r="E41" s="216"/>
      <c r="F41" s="216"/>
      <c r="G41" s="217"/>
      <c r="H41" s="217"/>
      <c r="I41" s="217"/>
      <c r="J41" s="217"/>
      <c r="K41" s="219"/>
    </row>
    <row r="42" spans="1:11" ht="15.95" customHeight="1">
      <c r="A42" s="188" t="s">
        <v>136</v>
      </c>
      <c r="B42" s="189"/>
      <c r="C42" s="189"/>
      <c r="D42" s="196"/>
      <c r="E42" s="196"/>
      <c r="F42" s="196"/>
      <c r="G42" s="189"/>
      <c r="H42" s="189"/>
      <c r="I42" s="189"/>
      <c r="J42" s="189"/>
      <c r="K42" s="190">
        <f>SUM(K43)</f>
        <v>0</v>
      </c>
    </row>
    <row r="43" spans="1:11" ht="15.95" customHeight="1">
      <c r="A43" s="256"/>
      <c r="B43" s="193"/>
      <c r="C43" s="193"/>
      <c r="D43" s="194"/>
      <c r="E43" s="194"/>
      <c r="F43" s="194"/>
      <c r="G43" s="193"/>
      <c r="H43" s="193"/>
      <c r="I43" s="193"/>
      <c r="J43" s="193"/>
      <c r="K43" s="195"/>
    </row>
    <row r="44" spans="1:11" ht="15.95" customHeight="1">
      <c r="A44" s="241" t="s">
        <v>108</v>
      </c>
      <c r="B44" s="242"/>
      <c r="C44" s="242"/>
      <c r="D44" s="243"/>
      <c r="E44" s="243"/>
      <c r="F44" s="243"/>
      <c r="G44" s="242"/>
      <c r="H44" s="242"/>
      <c r="I44" s="242"/>
      <c r="J44" s="242"/>
      <c r="K44" s="276">
        <f>+K8+K10+K21+K24+K32+K36+K40+K42</f>
        <v>5877370.5700000003</v>
      </c>
    </row>
    <row r="45" spans="1:11">
      <c r="A45" s="245"/>
      <c r="B45" s="246"/>
      <c r="C45" s="246"/>
      <c r="D45" s="246"/>
      <c r="E45" s="246"/>
      <c r="F45" s="246"/>
      <c r="G45" s="246"/>
      <c r="H45" s="246"/>
      <c r="I45" s="246"/>
      <c r="J45" s="246"/>
      <c r="K45" s="246"/>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K50"/>
  <sheetViews>
    <sheetView showGridLines="0" zoomScaleNormal="100" workbookViewId="0"/>
  </sheetViews>
  <sheetFormatPr baseColWidth="10" defaultRowHeight="15"/>
  <cols>
    <col min="1" max="1" width="65.140625" customWidth="1"/>
    <col min="2" max="6" width="17.7109375" customWidth="1"/>
    <col min="7" max="7" width="19.42578125" customWidth="1"/>
    <col min="8" max="11" width="17.7109375" customWidth="1"/>
  </cols>
  <sheetData>
    <row r="1" spans="1:11" s="177" customFormat="1" ht="21" customHeight="1">
      <c r="A1" s="175" t="s">
        <v>235</v>
      </c>
      <c r="B1" s="176"/>
    </row>
    <row r="2" spans="1:11" s="177" customFormat="1" ht="19.5" customHeight="1">
      <c r="A2" s="178" t="s">
        <v>341</v>
      </c>
      <c r="B2" s="176"/>
      <c r="C2" s="179"/>
      <c r="D2" s="179"/>
      <c r="E2" s="179"/>
      <c r="F2" s="179"/>
      <c r="G2" s="179"/>
      <c r="H2" s="179"/>
      <c r="I2" s="179"/>
      <c r="J2" s="179"/>
      <c r="K2" s="180" t="s">
        <v>234</v>
      </c>
    </row>
    <row r="3" spans="1:11" s="177" customFormat="1" ht="22.5" customHeight="1">
      <c r="A3" s="181" t="s">
        <v>342</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ht="18.75" customHeight="1">
      <c r="A6" s="248"/>
      <c r="D6" s="249"/>
      <c r="E6" s="249"/>
      <c r="F6" s="249"/>
      <c r="G6" s="248"/>
      <c r="H6" s="249"/>
      <c r="I6" s="249"/>
      <c r="K6" s="249"/>
    </row>
    <row r="7" spans="1:11" s="177" customFormat="1">
      <c r="A7" s="182" t="s">
        <v>228</v>
      </c>
      <c r="B7" s="182" t="s">
        <v>227</v>
      </c>
      <c r="C7" s="182" t="s">
        <v>226</v>
      </c>
      <c r="D7" s="182"/>
      <c r="E7" s="183" t="s">
        <v>225</v>
      </c>
      <c r="F7" s="183"/>
      <c r="G7" s="182" t="s">
        <v>224</v>
      </c>
      <c r="H7" s="1381" t="s">
        <v>223</v>
      </c>
      <c r="I7" s="1381"/>
      <c r="J7" s="182" t="s">
        <v>222</v>
      </c>
      <c r="K7" s="182" t="s">
        <v>221</v>
      </c>
    </row>
    <row r="8" spans="1:11" s="186" customFormat="1">
      <c r="A8" s="1382" t="s">
        <v>220</v>
      </c>
      <c r="B8" s="1379" t="s">
        <v>219</v>
      </c>
      <c r="C8" s="1379" t="s">
        <v>218</v>
      </c>
      <c r="D8" s="1379" t="s">
        <v>217</v>
      </c>
      <c r="E8" s="1379" t="s">
        <v>216</v>
      </c>
      <c r="F8" s="1379"/>
      <c r="G8" s="1379" t="s">
        <v>215</v>
      </c>
      <c r="H8" s="1379" t="s">
        <v>214</v>
      </c>
      <c r="I8" s="1379"/>
      <c r="J8" s="1379" t="s">
        <v>240</v>
      </c>
      <c r="K8" s="1380" t="s">
        <v>212</v>
      </c>
    </row>
    <row r="9" spans="1:11" s="186" customFormat="1">
      <c r="A9" s="1382"/>
      <c r="B9" s="1379"/>
      <c r="C9" s="1379"/>
      <c r="D9" s="1379"/>
      <c r="E9" s="187" t="s">
        <v>211</v>
      </c>
      <c r="F9" s="187" t="s">
        <v>210</v>
      </c>
      <c r="G9" s="1379"/>
      <c r="H9" s="187" t="s">
        <v>211</v>
      </c>
      <c r="I9" s="187" t="s">
        <v>210</v>
      </c>
      <c r="J9" s="1379"/>
      <c r="K9" s="1380"/>
    </row>
    <row r="10" spans="1:11" ht="15.95" customHeight="1">
      <c r="A10" s="188" t="s">
        <v>208</v>
      </c>
      <c r="B10" s="189"/>
      <c r="C10" s="189"/>
      <c r="D10" s="189"/>
      <c r="E10" s="189"/>
      <c r="F10" s="189"/>
      <c r="G10" s="189"/>
      <c r="H10" s="189"/>
      <c r="I10" s="189"/>
      <c r="J10" s="189"/>
      <c r="K10" s="190">
        <f>SUM(K11)</f>
        <v>0</v>
      </c>
    </row>
    <row r="11" spans="1:11" ht="19.5" customHeight="1">
      <c r="A11" s="192"/>
      <c r="B11" s="193"/>
      <c r="C11" s="193"/>
      <c r="D11" s="194"/>
      <c r="E11" s="194"/>
      <c r="F11" s="194"/>
      <c r="G11" s="193"/>
      <c r="H11" s="193"/>
      <c r="I11" s="193"/>
      <c r="J11" s="193"/>
      <c r="K11" s="195"/>
    </row>
    <row r="12" spans="1:11" ht="15.95" customHeight="1">
      <c r="A12" s="188" t="s">
        <v>207</v>
      </c>
      <c r="B12" s="189"/>
      <c r="C12" s="189"/>
      <c r="D12" s="196"/>
      <c r="E12" s="196"/>
      <c r="F12" s="196"/>
      <c r="G12" s="189"/>
      <c r="H12" s="189"/>
      <c r="I12" s="189"/>
      <c r="J12" s="189"/>
      <c r="K12" s="250">
        <f>SUM(K13:K22)</f>
        <v>2072213.9100000001</v>
      </c>
    </row>
    <row r="13" spans="1:11" ht="15.95" customHeight="1">
      <c r="A13" s="192" t="s">
        <v>343</v>
      </c>
      <c r="B13" s="193" t="s">
        <v>344</v>
      </c>
      <c r="C13" s="193" t="s">
        <v>345</v>
      </c>
      <c r="D13" s="251">
        <v>1.4999999999999999E-2</v>
      </c>
      <c r="E13" s="194">
        <v>0.01</v>
      </c>
      <c r="F13" s="194">
        <v>0.06</v>
      </c>
      <c r="G13" s="193"/>
      <c r="H13" s="193"/>
      <c r="I13" s="193"/>
      <c r="J13" s="193" t="s">
        <v>346</v>
      </c>
      <c r="K13" s="260">
        <v>685455.39</v>
      </c>
    </row>
    <row r="14" spans="1:11" ht="15.95" customHeight="1">
      <c r="A14" s="192" t="s">
        <v>347</v>
      </c>
      <c r="B14" s="193" t="s">
        <v>348</v>
      </c>
      <c r="C14" s="193" t="s">
        <v>349</v>
      </c>
      <c r="D14" s="194"/>
      <c r="E14" s="194"/>
      <c r="F14" s="194"/>
      <c r="G14" s="193"/>
      <c r="H14" s="193">
        <v>3300</v>
      </c>
      <c r="I14" s="193">
        <v>7800</v>
      </c>
      <c r="J14" s="193" t="s">
        <v>346</v>
      </c>
      <c r="K14" s="260">
        <v>1006758.52</v>
      </c>
    </row>
    <row r="15" spans="1:11" ht="15.95" customHeight="1">
      <c r="A15" s="192" t="s">
        <v>350</v>
      </c>
      <c r="B15" s="193" t="s">
        <v>351</v>
      </c>
      <c r="C15" s="193" t="s">
        <v>352</v>
      </c>
      <c r="D15" s="194"/>
      <c r="E15" s="194"/>
      <c r="F15" s="194"/>
      <c r="G15" s="193">
        <v>190000</v>
      </c>
      <c r="H15" s="193"/>
      <c r="I15" s="193"/>
      <c r="J15" s="193" t="s">
        <v>346</v>
      </c>
      <c r="K15" s="261">
        <v>380000</v>
      </c>
    </row>
    <row r="16" spans="1:11" ht="15.95" customHeight="1">
      <c r="A16" s="192" t="s">
        <v>353</v>
      </c>
      <c r="B16" s="193" t="s">
        <v>351</v>
      </c>
      <c r="C16" s="193" t="s">
        <v>354</v>
      </c>
      <c r="D16" s="194"/>
      <c r="E16" s="194"/>
      <c r="F16" s="194"/>
      <c r="G16" s="193">
        <v>120000</v>
      </c>
      <c r="H16" s="193"/>
      <c r="I16" s="193"/>
      <c r="J16" s="193" t="s">
        <v>346</v>
      </c>
      <c r="K16" s="261">
        <v>0</v>
      </c>
    </row>
    <row r="17" spans="1:11" ht="15.95" customHeight="1">
      <c r="A17" s="192"/>
      <c r="B17" s="193"/>
      <c r="C17" s="193"/>
      <c r="D17" s="194"/>
      <c r="E17" s="194"/>
      <c r="F17" s="194"/>
      <c r="G17" s="193"/>
      <c r="H17" s="193"/>
      <c r="I17" s="193"/>
      <c r="J17" s="193"/>
      <c r="K17" s="195"/>
    </row>
    <row r="18" spans="1:11" ht="15.95" customHeight="1">
      <c r="A18" s="192"/>
      <c r="B18" s="193"/>
      <c r="C18" s="193"/>
      <c r="D18" s="194"/>
      <c r="E18" s="194"/>
      <c r="F18" s="194"/>
      <c r="G18" s="193"/>
      <c r="H18" s="193"/>
      <c r="I18" s="193"/>
      <c r="J18" s="193"/>
      <c r="K18" s="195"/>
    </row>
    <row r="19" spans="1:11" ht="15.95" customHeight="1">
      <c r="A19" s="192"/>
      <c r="B19" s="193"/>
      <c r="C19" s="193"/>
      <c r="D19" s="194"/>
      <c r="E19" s="194"/>
      <c r="F19" s="194"/>
      <c r="G19" s="193"/>
      <c r="H19" s="193"/>
      <c r="I19" s="193"/>
      <c r="J19" s="193"/>
      <c r="K19" s="195"/>
    </row>
    <row r="20" spans="1:11" ht="15.95" customHeight="1">
      <c r="A20" s="192"/>
      <c r="B20" s="193"/>
      <c r="C20" s="193"/>
      <c r="D20" s="194"/>
      <c r="E20" s="194"/>
      <c r="F20" s="194"/>
      <c r="G20" s="193"/>
      <c r="H20" s="193"/>
      <c r="I20" s="193"/>
      <c r="J20" s="193"/>
      <c r="K20" s="195"/>
    </row>
    <row r="21" spans="1:11" ht="15.95" customHeight="1">
      <c r="A21" s="192"/>
      <c r="B21" s="193"/>
      <c r="C21" s="193"/>
      <c r="D21" s="194"/>
      <c r="E21" s="194"/>
      <c r="F21" s="194"/>
      <c r="G21" s="193"/>
      <c r="H21" s="193"/>
      <c r="I21" s="193"/>
      <c r="J21" s="193"/>
      <c r="K21" s="195"/>
    </row>
    <row r="22" spans="1:11" ht="15.95" customHeight="1">
      <c r="A22" s="192"/>
      <c r="B22" s="193"/>
      <c r="C22" s="193"/>
      <c r="D22" s="194"/>
      <c r="E22" s="194"/>
      <c r="F22" s="194"/>
      <c r="G22" s="193"/>
      <c r="H22" s="193"/>
      <c r="I22" s="193"/>
      <c r="J22" s="193"/>
      <c r="K22" s="195"/>
    </row>
    <row r="23" spans="1:11" s="177" customFormat="1" ht="15.95" customHeight="1">
      <c r="A23" s="209" t="s">
        <v>191</v>
      </c>
      <c r="B23" s="210"/>
      <c r="C23" s="210"/>
      <c r="D23" s="211"/>
      <c r="E23" s="211"/>
      <c r="F23" s="211"/>
      <c r="G23" s="210"/>
      <c r="H23" s="210"/>
      <c r="I23" s="210"/>
      <c r="J23" s="210"/>
      <c r="K23" s="252">
        <f>SUM(K24:K25)</f>
        <v>118012.03</v>
      </c>
    </row>
    <row r="24" spans="1:11" s="177" customFormat="1" ht="15.95" customHeight="1">
      <c r="A24" s="253" t="s">
        <v>355</v>
      </c>
      <c r="B24" s="217" t="s">
        <v>356</v>
      </c>
      <c r="C24" s="217"/>
      <c r="D24" s="216"/>
      <c r="E24" s="216"/>
      <c r="F24" s="216"/>
      <c r="G24" s="217">
        <v>1300</v>
      </c>
      <c r="H24" s="217"/>
      <c r="I24" s="217"/>
      <c r="J24" s="193" t="s">
        <v>346</v>
      </c>
      <c r="K24" s="254">
        <v>118012.03</v>
      </c>
    </row>
    <row r="25" spans="1:11" s="177" customFormat="1" ht="15.95" customHeight="1">
      <c r="A25" s="192"/>
      <c r="B25" s="217"/>
      <c r="C25" s="217"/>
      <c r="D25" s="216"/>
      <c r="E25" s="216"/>
      <c r="F25" s="216"/>
      <c r="G25" s="217"/>
      <c r="H25" s="217"/>
      <c r="I25" s="217"/>
      <c r="J25" s="217"/>
      <c r="K25" s="219"/>
    </row>
    <row r="26" spans="1:11" ht="15.95" customHeight="1">
      <c r="A26" s="188" t="s">
        <v>179</v>
      </c>
      <c r="B26" s="189"/>
      <c r="C26" s="189"/>
      <c r="D26" s="196"/>
      <c r="E26" s="196"/>
      <c r="F26" s="196"/>
      <c r="G26" s="189"/>
      <c r="H26" s="189"/>
      <c r="I26" s="189"/>
      <c r="J26" s="189"/>
      <c r="K26" s="190">
        <f>SUM(K27:K33)</f>
        <v>220660</v>
      </c>
    </row>
    <row r="27" spans="1:11" ht="15.95" customHeight="1">
      <c r="A27" s="255" t="s">
        <v>357</v>
      </c>
      <c r="B27" s="193"/>
      <c r="C27" s="193" t="s">
        <v>352</v>
      </c>
      <c r="D27" s="194"/>
      <c r="E27" s="194"/>
      <c r="F27" s="194"/>
      <c r="G27" s="193"/>
      <c r="H27" s="193">
        <v>550</v>
      </c>
      <c r="I27" s="193">
        <v>1400</v>
      </c>
      <c r="J27" s="193" t="s">
        <v>346</v>
      </c>
      <c r="K27" s="195">
        <v>220660</v>
      </c>
    </row>
    <row r="28" spans="1:11" ht="15.95" customHeight="1">
      <c r="A28" s="192"/>
      <c r="B28" s="193"/>
      <c r="C28" s="193"/>
      <c r="D28" s="194"/>
      <c r="E28" s="194"/>
      <c r="F28" s="194"/>
      <c r="G28" s="193"/>
      <c r="H28" s="193"/>
      <c r="I28" s="193"/>
      <c r="J28" s="193"/>
      <c r="K28" s="195"/>
    </row>
    <row r="29" spans="1:11" ht="15.95" customHeight="1">
      <c r="A29" s="192"/>
      <c r="B29" s="193"/>
      <c r="C29" s="193"/>
      <c r="D29" s="194"/>
      <c r="E29" s="194"/>
      <c r="F29" s="194"/>
      <c r="G29" s="193"/>
      <c r="H29" s="193"/>
      <c r="I29" s="193"/>
      <c r="J29" s="193"/>
      <c r="K29" s="195"/>
    </row>
    <row r="30" spans="1:11" ht="15.95" customHeight="1">
      <c r="A30" s="192"/>
      <c r="B30" s="193"/>
      <c r="C30" s="193"/>
      <c r="D30" s="194"/>
      <c r="E30" s="194"/>
      <c r="F30" s="194"/>
      <c r="G30" s="193"/>
      <c r="H30" s="193"/>
      <c r="I30" s="193"/>
      <c r="J30" s="193"/>
      <c r="K30" s="195"/>
    </row>
    <row r="31" spans="1:11" ht="15.95" customHeight="1">
      <c r="A31" s="192"/>
      <c r="B31" s="193"/>
      <c r="C31" s="193"/>
      <c r="D31" s="194"/>
      <c r="E31" s="194"/>
      <c r="F31" s="194"/>
      <c r="G31" s="193"/>
      <c r="H31" s="193"/>
      <c r="I31" s="193"/>
      <c r="J31" s="193"/>
      <c r="K31" s="195"/>
    </row>
    <row r="32" spans="1:11" ht="15.95" customHeight="1">
      <c r="A32" s="192"/>
      <c r="B32" s="193"/>
      <c r="C32" s="193"/>
      <c r="D32" s="194"/>
      <c r="E32" s="194"/>
      <c r="F32" s="194"/>
      <c r="G32" s="193"/>
      <c r="H32" s="193"/>
      <c r="I32" s="193"/>
      <c r="J32" s="193"/>
      <c r="K32" s="195"/>
    </row>
    <row r="33" spans="1:11" ht="15.95" customHeight="1">
      <c r="A33" s="192"/>
      <c r="B33" s="193"/>
      <c r="C33" s="193"/>
      <c r="D33" s="194"/>
      <c r="E33" s="194"/>
      <c r="F33" s="194"/>
      <c r="G33" s="193"/>
      <c r="H33" s="193"/>
      <c r="I33" s="193"/>
      <c r="J33" s="193"/>
      <c r="K33" s="195"/>
    </row>
    <row r="34" spans="1:11" ht="15.95" customHeight="1">
      <c r="A34" s="188" t="s">
        <v>152</v>
      </c>
      <c r="B34" s="189"/>
      <c r="C34" s="189"/>
      <c r="D34" s="196"/>
      <c r="E34" s="196"/>
      <c r="F34" s="196"/>
      <c r="G34" s="189"/>
      <c r="H34" s="189"/>
      <c r="I34" s="189"/>
      <c r="J34" s="189"/>
      <c r="K34" s="190">
        <f>SUM(K35:K37)</f>
        <v>0</v>
      </c>
    </row>
    <row r="35" spans="1:11" ht="15.95" customHeight="1">
      <c r="A35" s="256"/>
      <c r="B35" s="193"/>
      <c r="C35" s="193"/>
      <c r="D35" s="194"/>
      <c r="E35" s="194"/>
      <c r="F35" s="194"/>
      <c r="G35" s="193"/>
      <c r="H35" s="193"/>
      <c r="I35" s="193"/>
      <c r="J35" s="193"/>
      <c r="K35" s="195"/>
    </row>
    <row r="36" spans="1:11" ht="15.95" customHeight="1">
      <c r="A36" s="256"/>
      <c r="B36" s="193"/>
      <c r="C36" s="193"/>
      <c r="D36" s="194"/>
      <c r="E36" s="194"/>
      <c r="F36" s="194"/>
      <c r="G36" s="193"/>
      <c r="H36" s="193"/>
      <c r="I36" s="193"/>
      <c r="J36" s="193"/>
      <c r="K36" s="195"/>
    </row>
    <row r="37" spans="1:11" ht="15.95" customHeight="1">
      <c r="A37" s="256"/>
      <c r="B37" s="193"/>
      <c r="C37" s="193"/>
      <c r="D37" s="194"/>
      <c r="E37" s="194"/>
      <c r="F37" s="194"/>
      <c r="G37" s="193"/>
      <c r="H37" s="193"/>
      <c r="I37" s="193"/>
      <c r="J37" s="193"/>
      <c r="K37" s="195"/>
    </row>
    <row r="38" spans="1:11" ht="15.95" customHeight="1">
      <c r="A38" s="188" t="s">
        <v>151</v>
      </c>
      <c r="B38" s="189"/>
      <c r="C38" s="189"/>
      <c r="D38" s="196"/>
      <c r="E38" s="196"/>
      <c r="F38" s="196"/>
      <c r="G38" s="189"/>
      <c r="H38" s="189"/>
      <c r="I38" s="189"/>
      <c r="J38" s="189"/>
      <c r="K38" s="190">
        <f>SUM(K39:K41)</f>
        <v>0</v>
      </c>
    </row>
    <row r="39" spans="1:11" ht="15.95" customHeight="1">
      <c r="A39" s="256"/>
      <c r="B39" s="193"/>
      <c r="C39" s="193"/>
      <c r="D39" s="194"/>
      <c r="E39" s="194"/>
      <c r="F39" s="194"/>
      <c r="G39" s="193"/>
      <c r="H39" s="193"/>
      <c r="I39" s="193"/>
      <c r="J39" s="193"/>
      <c r="K39" s="195"/>
    </row>
    <row r="40" spans="1:11" ht="15.95" customHeight="1">
      <c r="A40" s="256"/>
      <c r="B40" s="193"/>
      <c r="C40" s="193"/>
      <c r="D40" s="194"/>
      <c r="E40" s="194"/>
      <c r="F40" s="194"/>
      <c r="G40" s="193"/>
      <c r="H40" s="193"/>
      <c r="I40" s="193"/>
      <c r="J40" s="193"/>
      <c r="K40" s="195"/>
    </row>
    <row r="41" spans="1:11" ht="15.95" customHeight="1">
      <c r="A41" s="256"/>
      <c r="B41" s="193"/>
      <c r="C41" s="193"/>
      <c r="D41" s="194"/>
      <c r="E41" s="194"/>
      <c r="F41" s="194"/>
      <c r="G41" s="193"/>
      <c r="H41" s="193"/>
      <c r="I41" s="193"/>
      <c r="J41" s="193"/>
      <c r="K41" s="195"/>
    </row>
    <row r="42" spans="1:11" s="177" customFormat="1" ht="15.95" customHeight="1">
      <c r="A42" s="209" t="s">
        <v>137</v>
      </c>
      <c r="B42" s="210"/>
      <c r="C42" s="210"/>
      <c r="D42" s="211"/>
      <c r="E42" s="211"/>
      <c r="F42" s="211"/>
      <c r="G42" s="210"/>
      <c r="H42" s="210"/>
      <c r="I42" s="210"/>
      <c r="J42" s="210"/>
      <c r="K42" s="213">
        <f>SUM(K43)</f>
        <v>470097.82</v>
      </c>
    </row>
    <row r="43" spans="1:11" s="177" customFormat="1" ht="15.95" customHeight="1">
      <c r="A43" s="255" t="s">
        <v>358</v>
      </c>
      <c r="B43" s="217"/>
      <c r="C43" s="217" t="s">
        <v>359</v>
      </c>
      <c r="D43" s="216"/>
      <c r="E43" s="216"/>
      <c r="F43" s="216"/>
      <c r="G43" s="217"/>
      <c r="H43" s="217">
        <v>2000</v>
      </c>
      <c r="I43" s="217">
        <v>44800</v>
      </c>
      <c r="J43" s="193" t="s">
        <v>346</v>
      </c>
      <c r="K43" s="219">
        <v>470097.82</v>
      </c>
    </row>
    <row r="44" spans="1:11" ht="15.95" customHeight="1">
      <c r="A44" s="188" t="s">
        <v>136</v>
      </c>
      <c r="B44" s="189"/>
      <c r="C44" s="189"/>
      <c r="D44" s="196"/>
      <c r="E44" s="196"/>
      <c r="F44" s="196"/>
      <c r="G44" s="189"/>
      <c r="H44" s="189"/>
      <c r="I44" s="189"/>
      <c r="J44" s="189"/>
      <c r="K44" s="190">
        <f>SUM(K45)</f>
        <v>0</v>
      </c>
    </row>
    <row r="45" spans="1:11" ht="15.95" customHeight="1">
      <c r="A45" s="256"/>
      <c r="B45" s="193"/>
      <c r="C45" s="193"/>
      <c r="D45" s="194"/>
      <c r="E45" s="194"/>
      <c r="F45" s="194"/>
      <c r="G45" s="193"/>
      <c r="H45" s="193"/>
      <c r="I45" s="193"/>
      <c r="J45" s="193"/>
      <c r="K45" s="195"/>
    </row>
    <row r="46" spans="1:11" ht="15.95" customHeight="1">
      <c r="A46" s="241" t="s">
        <v>108</v>
      </c>
      <c r="B46" s="242"/>
      <c r="C46" s="242"/>
      <c r="D46" s="243"/>
      <c r="E46" s="243"/>
      <c r="F46" s="243"/>
      <c r="G46" s="242"/>
      <c r="H46" s="242"/>
      <c r="I46" s="242"/>
      <c r="J46" s="242"/>
      <c r="K46" s="257">
        <f>+K10+K12+K23+K26+K34+K38+K42+K44</f>
        <v>2880983.76</v>
      </c>
    </row>
    <row r="47" spans="1:11">
      <c r="A47" s="245"/>
      <c r="B47" s="246"/>
      <c r="C47" s="246"/>
      <c r="D47" s="246"/>
      <c r="E47" s="246"/>
      <c r="F47" s="246"/>
      <c r="G47" s="246"/>
      <c r="H47" s="246"/>
      <c r="I47" s="246"/>
      <c r="J47" s="246"/>
      <c r="K47" s="246"/>
    </row>
    <row r="48" spans="1:11" ht="15.75">
      <c r="A48" s="258"/>
    </row>
    <row r="49" spans="1:1" ht="15.75">
      <c r="A49" s="259"/>
    </row>
    <row r="50" spans="1:1" ht="15.75">
      <c r="A50" s="259"/>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pageSetUpPr fitToPage="1"/>
  </sheetPr>
  <dimension ref="A1:O69"/>
  <sheetViews>
    <sheetView showGridLines="0" zoomScaleNormal="100" workbookViewId="0">
      <pane xSplit="1" topLeftCell="B1" activePane="topRight" state="frozen"/>
      <selection pane="topRight"/>
    </sheetView>
  </sheetViews>
  <sheetFormatPr baseColWidth="10" defaultRowHeight="15"/>
  <cols>
    <col min="1" max="1" width="71" style="1235" customWidth="1"/>
    <col min="2" max="6" width="17.7109375" style="1235" customWidth="1"/>
    <col min="7" max="7" width="14.7109375" style="1235" customWidth="1"/>
    <col min="8" max="8" width="14.42578125" style="1235" customWidth="1"/>
    <col min="9" max="9" width="15.28515625" style="1235" customWidth="1"/>
    <col min="10" max="10" width="29.140625" style="1235" customWidth="1"/>
    <col min="11" max="11" width="17.7109375" style="1235" customWidth="1"/>
    <col min="12" max="12" width="1.28515625" style="1235" customWidth="1"/>
    <col min="13" max="13" width="14.5703125" style="1235" customWidth="1"/>
    <col min="14" max="256" width="11.42578125" style="1235"/>
    <col min="257" max="257" width="71" style="1235" customWidth="1"/>
    <col min="258" max="262" width="17.7109375" style="1235" customWidth="1"/>
    <col min="263" max="263" width="14.7109375" style="1235" customWidth="1"/>
    <col min="264" max="264" width="14.42578125" style="1235" customWidth="1"/>
    <col min="265" max="265" width="15.28515625" style="1235" customWidth="1"/>
    <col min="266" max="266" width="29.140625" style="1235" customWidth="1"/>
    <col min="267" max="267" width="17.7109375" style="1235" customWidth="1"/>
    <col min="268" max="268" width="1.28515625" style="1235" customWidth="1"/>
    <col min="269" max="269" width="14.5703125" style="1235" customWidth="1"/>
    <col min="270" max="512" width="11.42578125" style="1235"/>
    <col min="513" max="513" width="71" style="1235" customWidth="1"/>
    <col min="514" max="518" width="17.7109375" style="1235" customWidth="1"/>
    <col min="519" max="519" width="14.7109375" style="1235" customWidth="1"/>
    <col min="520" max="520" width="14.42578125" style="1235" customWidth="1"/>
    <col min="521" max="521" width="15.28515625" style="1235" customWidth="1"/>
    <col min="522" max="522" width="29.140625" style="1235" customWidth="1"/>
    <col min="523" max="523" width="17.7109375" style="1235" customWidth="1"/>
    <col min="524" max="524" width="1.28515625" style="1235" customWidth="1"/>
    <col min="525" max="525" width="14.5703125" style="1235" customWidth="1"/>
    <col min="526" max="768" width="11.42578125" style="1235"/>
    <col min="769" max="769" width="71" style="1235" customWidth="1"/>
    <col min="770" max="774" width="17.7109375" style="1235" customWidth="1"/>
    <col min="775" max="775" width="14.7109375" style="1235" customWidth="1"/>
    <col min="776" max="776" width="14.42578125" style="1235" customWidth="1"/>
    <col min="777" max="777" width="15.28515625" style="1235" customWidth="1"/>
    <col min="778" max="778" width="29.140625" style="1235" customWidth="1"/>
    <col min="779" max="779" width="17.7109375" style="1235" customWidth="1"/>
    <col min="780" max="780" width="1.28515625" style="1235" customWidth="1"/>
    <col min="781" max="781" width="14.5703125" style="1235" customWidth="1"/>
    <col min="782" max="1024" width="11.42578125" style="1235"/>
    <col min="1025" max="1025" width="71" style="1235" customWidth="1"/>
    <col min="1026" max="1030" width="17.7109375" style="1235" customWidth="1"/>
    <col min="1031" max="1031" width="14.7109375" style="1235" customWidth="1"/>
    <col min="1032" max="1032" width="14.42578125" style="1235" customWidth="1"/>
    <col min="1033" max="1033" width="15.28515625" style="1235" customWidth="1"/>
    <col min="1034" max="1034" width="29.140625" style="1235" customWidth="1"/>
    <col min="1035" max="1035" width="17.7109375" style="1235" customWidth="1"/>
    <col min="1036" max="1036" width="1.28515625" style="1235" customWidth="1"/>
    <col min="1037" max="1037" width="14.5703125" style="1235" customWidth="1"/>
    <col min="1038" max="1280" width="11.42578125" style="1235"/>
    <col min="1281" max="1281" width="71" style="1235" customWidth="1"/>
    <col min="1282" max="1286" width="17.7109375" style="1235" customWidth="1"/>
    <col min="1287" max="1287" width="14.7109375" style="1235" customWidth="1"/>
    <col min="1288" max="1288" width="14.42578125" style="1235" customWidth="1"/>
    <col min="1289" max="1289" width="15.28515625" style="1235" customWidth="1"/>
    <col min="1290" max="1290" width="29.140625" style="1235" customWidth="1"/>
    <col min="1291" max="1291" width="17.7109375" style="1235" customWidth="1"/>
    <col min="1292" max="1292" width="1.28515625" style="1235" customWidth="1"/>
    <col min="1293" max="1293" width="14.5703125" style="1235" customWidth="1"/>
    <col min="1294" max="1536" width="11.42578125" style="1235"/>
    <col min="1537" max="1537" width="71" style="1235" customWidth="1"/>
    <col min="1538" max="1542" width="17.7109375" style="1235" customWidth="1"/>
    <col min="1543" max="1543" width="14.7109375" style="1235" customWidth="1"/>
    <col min="1544" max="1544" width="14.42578125" style="1235" customWidth="1"/>
    <col min="1545" max="1545" width="15.28515625" style="1235" customWidth="1"/>
    <col min="1546" max="1546" width="29.140625" style="1235" customWidth="1"/>
    <col min="1547" max="1547" width="17.7109375" style="1235" customWidth="1"/>
    <col min="1548" max="1548" width="1.28515625" style="1235" customWidth="1"/>
    <col min="1549" max="1549" width="14.5703125" style="1235" customWidth="1"/>
    <col min="1550" max="1792" width="11.42578125" style="1235"/>
    <col min="1793" max="1793" width="71" style="1235" customWidth="1"/>
    <col min="1794" max="1798" width="17.7109375" style="1235" customWidth="1"/>
    <col min="1799" max="1799" width="14.7109375" style="1235" customWidth="1"/>
    <col min="1800" max="1800" width="14.42578125" style="1235" customWidth="1"/>
    <col min="1801" max="1801" width="15.28515625" style="1235" customWidth="1"/>
    <col min="1802" max="1802" width="29.140625" style="1235" customWidth="1"/>
    <col min="1803" max="1803" width="17.7109375" style="1235" customWidth="1"/>
    <col min="1804" max="1804" width="1.28515625" style="1235" customWidth="1"/>
    <col min="1805" max="1805" width="14.5703125" style="1235" customWidth="1"/>
    <col min="1806" max="2048" width="11.42578125" style="1235"/>
    <col min="2049" max="2049" width="71" style="1235" customWidth="1"/>
    <col min="2050" max="2054" width="17.7109375" style="1235" customWidth="1"/>
    <col min="2055" max="2055" width="14.7109375" style="1235" customWidth="1"/>
    <col min="2056" max="2056" width="14.42578125" style="1235" customWidth="1"/>
    <col min="2057" max="2057" width="15.28515625" style="1235" customWidth="1"/>
    <col min="2058" max="2058" width="29.140625" style="1235" customWidth="1"/>
    <col min="2059" max="2059" width="17.7109375" style="1235" customWidth="1"/>
    <col min="2060" max="2060" width="1.28515625" style="1235" customWidth="1"/>
    <col min="2061" max="2061" width="14.5703125" style="1235" customWidth="1"/>
    <col min="2062" max="2304" width="11.42578125" style="1235"/>
    <col min="2305" max="2305" width="71" style="1235" customWidth="1"/>
    <col min="2306" max="2310" width="17.7109375" style="1235" customWidth="1"/>
    <col min="2311" max="2311" width="14.7109375" style="1235" customWidth="1"/>
    <col min="2312" max="2312" width="14.42578125" style="1235" customWidth="1"/>
    <col min="2313" max="2313" width="15.28515625" style="1235" customWidth="1"/>
    <col min="2314" max="2314" width="29.140625" style="1235" customWidth="1"/>
    <col min="2315" max="2315" width="17.7109375" style="1235" customWidth="1"/>
    <col min="2316" max="2316" width="1.28515625" style="1235" customWidth="1"/>
    <col min="2317" max="2317" width="14.5703125" style="1235" customWidth="1"/>
    <col min="2318" max="2560" width="11.42578125" style="1235"/>
    <col min="2561" max="2561" width="71" style="1235" customWidth="1"/>
    <col min="2562" max="2566" width="17.7109375" style="1235" customWidth="1"/>
    <col min="2567" max="2567" width="14.7109375" style="1235" customWidth="1"/>
    <col min="2568" max="2568" width="14.42578125" style="1235" customWidth="1"/>
    <col min="2569" max="2569" width="15.28515625" style="1235" customWidth="1"/>
    <col min="2570" max="2570" width="29.140625" style="1235" customWidth="1"/>
    <col min="2571" max="2571" width="17.7109375" style="1235" customWidth="1"/>
    <col min="2572" max="2572" width="1.28515625" style="1235" customWidth="1"/>
    <col min="2573" max="2573" width="14.5703125" style="1235" customWidth="1"/>
    <col min="2574" max="2816" width="11.42578125" style="1235"/>
    <col min="2817" max="2817" width="71" style="1235" customWidth="1"/>
    <col min="2818" max="2822" width="17.7109375" style="1235" customWidth="1"/>
    <col min="2823" max="2823" width="14.7109375" style="1235" customWidth="1"/>
    <col min="2824" max="2824" width="14.42578125" style="1235" customWidth="1"/>
    <col min="2825" max="2825" width="15.28515625" style="1235" customWidth="1"/>
    <col min="2826" max="2826" width="29.140625" style="1235" customWidth="1"/>
    <col min="2827" max="2827" width="17.7109375" style="1235" customWidth="1"/>
    <col min="2828" max="2828" width="1.28515625" style="1235" customWidth="1"/>
    <col min="2829" max="2829" width="14.5703125" style="1235" customWidth="1"/>
    <col min="2830" max="3072" width="11.42578125" style="1235"/>
    <col min="3073" max="3073" width="71" style="1235" customWidth="1"/>
    <col min="3074" max="3078" width="17.7109375" style="1235" customWidth="1"/>
    <col min="3079" max="3079" width="14.7109375" style="1235" customWidth="1"/>
    <col min="3080" max="3080" width="14.42578125" style="1235" customWidth="1"/>
    <col min="3081" max="3081" width="15.28515625" style="1235" customWidth="1"/>
    <col min="3082" max="3082" width="29.140625" style="1235" customWidth="1"/>
    <col min="3083" max="3083" width="17.7109375" style="1235" customWidth="1"/>
    <col min="3084" max="3084" width="1.28515625" style="1235" customWidth="1"/>
    <col min="3085" max="3085" width="14.5703125" style="1235" customWidth="1"/>
    <col min="3086" max="3328" width="11.42578125" style="1235"/>
    <col min="3329" max="3329" width="71" style="1235" customWidth="1"/>
    <col min="3330" max="3334" width="17.7109375" style="1235" customWidth="1"/>
    <col min="3335" max="3335" width="14.7109375" style="1235" customWidth="1"/>
    <col min="3336" max="3336" width="14.42578125" style="1235" customWidth="1"/>
    <col min="3337" max="3337" width="15.28515625" style="1235" customWidth="1"/>
    <col min="3338" max="3338" width="29.140625" style="1235" customWidth="1"/>
    <col min="3339" max="3339" width="17.7109375" style="1235" customWidth="1"/>
    <col min="3340" max="3340" width="1.28515625" style="1235" customWidth="1"/>
    <col min="3341" max="3341" width="14.5703125" style="1235" customWidth="1"/>
    <col min="3342" max="3584" width="11.42578125" style="1235"/>
    <col min="3585" max="3585" width="71" style="1235" customWidth="1"/>
    <col min="3586" max="3590" width="17.7109375" style="1235" customWidth="1"/>
    <col min="3591" max="3591" width="14.7109375" style="1235" customWidth="1"/>
    <col min="3592" max="3592" width="14.42578125" style="1235" customWidth="1"/>
    <col min="3593" max="3593" width="15.28515625" style="1235" customWidth="1"/>
    <col min="3594" max="3594" width="29.140625" style="1235" customWidth="1"/>
    <col min="3595" max="3595" width="17.7109375" style="1235" customWidth="1"/>
    <col min="3596" max="3596" width="1.28515625" style="1235" customWidth="1"/>
    <col min="3597" max="3597" width="14.5703125" style="1235" customWidth="1"/>
    <col min="3598" max="3840" width="11.42578125" style="1235"/>
    <col min="3841" max="3841" width="71" style="1235" customWidth="1"/>
    <col min="3842" max="3846" width="17.7109375" style="1235" customWidth="1"/>
    <col min="3847" max="3847" width="14.7109375" style="1235" customWidth="1"/>
    <col min="3848" max="3848" width="14.42578125" style="1235" customWidth="1"/>
    <col min="3849" max="3849" width="15.28515625" style="1235" customWidth="1"/>
    <col min="3850" max="3850" width="29.140625" style="1235" customWidth="1"/>
    <col min="3851" max="3851" width="17.7109375" style="1235" customWidth="1"/>
    <col min="3852" max="3852" width="1.28515625" style="1235" customWidth="1"/>
    <col min="3853" max="3853" width="14.5703125" style="1235" customWidth="1"/>
    <col min="3854" max="4096" width="11.42578125" style="1235"/>
    <col min="4097" max="4097" width="71" style="1235" customWidth="1"/>
    <col min="4098" max="4102" width="17.7109375" style="1235" customWidth="1"/>
    <col min="4103" max="4103" width="14.7109375" style="1235" customWidth="1"/>
    <col min="4104" max="4104" width="14.42578125" style="1235" customWidth="1"/>
    <col min="4105" max="4105" width="15.28515625" style="1235" customWidth="1"/>
    <col min="4106" max="4106" width="29.140625" style="1235" customWidth="1"/>
    <col min="4107" max="4107" width="17.7109375" style="1235" customWidth="1"/>
    <col min="4108" max="4108" width="1.28515625" style="1235" customWidth="1"/>
    <col min="4109" max="4109" width="14.5703125" style="1235" customWidth="1"/>
    <col min="4110" max="4352" width="11.42578125" style="1235"/>
    <col min="4353" max="4353" width="71" style="1235" customWidth="1"/>
    <col min="4354" max="4358" width="17.7109375" style="1235" customWidth="1"/>
    <col min="4359" max="4359" width="14.7109375" style="1235" customWidth="1"/>
    <col min="4360" max="4360" width="14.42578125" style="1235" customWidth="1"/>
    <col min="4361" max="4361" width="15.28515625" style="1235" customWidth="1"/>
    <col min="4362" max="4362" width="29.140625" style="1235" customWidth="1"/>
    <col min="4363" max="4363" width="17.7109375" style="1235" customWidth="1"/>
    <col min="4364" max="4364" width="1.28515625" style="1235" customWidth="1"/>
    <col min="4365" max="4365" width="14.5703125" style="1235" customWidth="1"/>
    <col min="4366" max="4608" width="11.42578125" style="1235"/>
    <col min="4609" max="4609" width="71" style="1235" customWidth="1"/>
    <col min="4610" max="4614" width="17.7109375" style="1235" customWidth="1"/>
    <col min="4615" max="4615" width="14.7109375" style="1235" customWidth="1"/>
    <col min="4616" max="4616" width="14.42578125" style="1235" customWidth="1"/>
    <col min="4617" max="4617" width="15.28515625" style="1235" customWidth="1"/>
    <col min="4618" max="4618" width="29.140625" style="1235" customWidth="1"/>
    <col min="4619" max="4619" width="17.7109375" style="1235" customWidth="1"/>
    <col min="4620" max="4620" width="1.28515625" style="1235" customWidth="1"/>
    <col min="4621" max="4621" width="14.5703125" style="1235" customWidth="1"/>
    <col min="4622" max="4864" width="11.42578125" style="1235"/>
    <col min="4865" max="4865" width="71" style="1235" customWidth="1"/>
    <col min="4866" max="4870" width="17.7109375" style="1235" customWidth="1"/>
    <col min="4871" max="4871" width="14.7109375" style="1235" customWidth="1"/>
    <col min="4872" max="4872" width="14.42578125" style="1235" customWidth="1"/>
    <col min="4873" max="4873" width="15.28515625" style="1235" customWidth="1"/>
    <col min="4874" max="4874" width="29.140625" style="1235" customWidth="1"/>
    <col min="4875" max="4875" width="17.7109375" style="1235" customWidth="1"/>
    <col min="4876" max="4876" width="1.28515625" style="1235" customWidth="1"/>
    <col min="4877" max="4877" width="14.5703125" style="1235" customWidth="1"/>
    <col min="4878" max="5120" width="11.42578125" style="1235"/>
    <col min="5121" max="5121" width="71" style="1235" customWidth="1"/>
    <col min="5122" max="5126" width="17.7109375" style="1235" customWidth="1"/>
    <col min="5127" max="5127" width="14.7109375" style="1235" customWidth="1"/>
    <col min="5128" max="5128" width="14.42578125" style="1235" customWidth="1"/>
    <col min="5129" max="5129" width="15.28515625" style="1235" customWidth="1"/>
    <col min="5130" max="5130" width="29.140625" style="1235" customWidth="1"/>
    <col min="5131" max="5131" width="17.7109375" style="1235" customWidth="1"/>
    <col min="5132" max="5132" width="1.28515625" style="1235" customWidth="1"/>
    <col min="5133" max="5133" width="14.5703125" style="1235" customWidth="1"/>
    <col min="5134" max="5376" width="11.42578125" style="1235"/>
    <col min="5377" max="5377" width="71" style="1235" customWidth="1"/>
    <col min="5378" max="5382" width="17.7109375" style="1235" customWidth="1"/>
    <col min="5383" max="5383" width="14.7109375" style="1235" customWidth="1"/>
    <col min="5384" max="5384" width="14.42578125" style="1235" customWidth="1"/>
    <col min="5385" max="5385" width="15.28515625" style="1235" customWidth="1"/>
    <col min="5386" max="5386" width="29.140625" style="1235" customWidth="1"/>
    <col min="5387" max="5387" width="17.7109375" style="1235" customWidth="1"/>
    <col min="5388" max="5388" width="1.28515625" style="1235" customWidth="1"/>
    <col min="5389" max="5389" width="14.5703125" style="1235" customWidth="1"/>
    <col min="5390" max="5632" width="11.42578125" style="1235"/>
    <col min="5633" max="5633" width="71" style="1235" customWidth="1"/>
    <col min="5634" max="5638" width="17.7109375" style="1235" customWidth="1"/>
    <col min="5639" max="5639" width="14.7109375" style="1235" customWidth="1"/>
    <col min="5640" max="5640" width="14.42578125" style="1235" customWidth="1"/>
    <col min="5641" max="5641" width="15.28515625" style="1235" customWidth="1"/>
    <col min="5642" max="5642" width="29.140625" style="1235" customWidth="1"/>
    <col min="5643" max="5643" width="17.7109375" style="1235" customWidth="1"/>
    <col min="5644" max="5644" width="1.28515625" style="1235" customWidth="1"/>
    <col min="5645" max="5645" width="14.5703125" style="1235" customWidth="1"/>
    <col min="5646" max="5888" width="11.42578125" style="1235"/>
    <col min="5889" max="5889" width="71" style="1235" customWidth="1"/>
    <col min="5890" max="5894" width="17.7109375" style="1235" customWidth="1"/>
    <col min="5895" max="5895" width="14.7109375" style="1235" customWidth="1"/>
    <col min="5896" max="5896" width="14.42578125" style="1235" customWidth="1"/>
    <col min="5897" max="5897" width="15.28515625" style="1235" customWidth="1"/>
    <col min="5898" max="5898" width="29.140625" style="1235" customWidth="1"/>
    <col min="5899" max="5899" width="17.7109375" style="1235" customWidth="1"/>
    <col min="5900" max="5900" width="1.28515625" style="1235" customWidth="1"/>
    <col min="5901" max="5901" width="14.5703125" style="1235" customWidth="1"/>
    <col min="5902" max="6144" width="11.42578125" style="1235"/>
    <col min="6145" max="6145" width="71" style="1235" customWidth="1"/>
    <col min="6146" max="6150" width="17.7109375" style="1235" customWidth="1"/>
    <col min="6151" max="6151" width="14.7109375" style="1235" customWidth="1"/>
    <col min="6152" max="6152" width="14.42578125" style="1235" customWidth="1"/>
    <col min="6153" max="6153" width="15.28515625" style="1235" customWidth="1"/>
    <col min="6154" max="6154" width="29.140625" style="1235" customWidth="1"/>
    <col min="6155" max="6155" width="17.7109375" style="1235" customWidth="1"/>
    <col min="6156" max="6156" width="1.28515625" style="1235" customWidth="1"/>
    <col min="6157" max="6157" width="14.5703125" style="1235" customWidth="1"/>
    <col min="6158" max="6400" width="11.42578125" style="1235"/>
    <col min="6401" max="6401" width="71" style="1235" customWidth="1"/>
    <col min="6402" max="6406" width="17.7109375" style="1235" customWidth="1"/>
    <col min="6407" max="6407" width="14.7109375" style="1235" customWidth="1"/>
    <col min="6408" max="6408" width="14.42578125" style="1235" customWidth="1"/>
    <col min="6409" max="6409" width="15.28515625" style="1235" customWidth="1"/>
    <col min="6410" max="6410" width="29.140625" style="1235" customWidth="1"/>
    <col min="6411" max="6411" width="17.7109375" style="1235" customWidth="1"/>
    <col min="6412" max="6412" width="1.28515625" style="1235" customWidth="1"/>
    <col min="6413" max="6413" width="14.5703125" style="1235" customWidth="1"/>
    <col min="6414" max="6656" width="11.42578125" style="1235"/>
    <col min="6657" max="6657" width="71" style="1235" customWidth="1"/>
    <col min="6658" max="6662" width="17.7109375" style="1235" customWidth="1"/>
    <col min="6663" max="6663" width="14.7109375" style="1235" customWidth="1"/>
    <col min="6664" max="6664" width="14.42578125" style="1235" customWidth="1"/>
    <col min="6665" max="6665" width="15.28515625" style="1235" customWidth="1"/>
    <col min="6666" max="6666" width="29.140625" style="1235" customWidth="1"/>
    <col min="6667" max="6667" width="17.7109375" style="1235" customWidth="1"/>
    <col min="6668" max="6668" width="1.28515625" style="1235" customWidth="1"/>
    <col min="6669" max="6669" width="14.5703125" style="1235" customWidth="1"/>
    <col min="6670" max="6912" width="11.42578125" style="1235"/>
    <col min="6913" max="6913" width="71" style="1235" customWidth="1"/>
    <col min="6914" max="6918" width="17.7109375" style="1235" customWidth="1"/>
    <col min="6919" max="6919" width="14.7109375" style="1235" customWidth="1"/>
    <col min="6920" max="6920" width="14.42578125" style="1235" customWidth="1"/>
    <col min="6921" max="6921" width="15.28515625" style="1235" customWidth="1"/>
    <col min="6922" max="6922" width="29.140625" style="1235" customWidth="1"/>
    <col min="6923" max="6923" width="17.7109375" style="1235" customWidth="1"/>
    <col min="6924" max="6924" width="1.28515625" style="1235" customWidth="1"/>
    <col min="6925" max="6925" width="14.5703125" style="1235" customWidth="1"/>
    <col min="6926" max="7168" width="11.42578125" style="1235"/>
    <col min="7169" max="7169" width="71" style="1235" customWidth="1"/>
    <col min="7170" max="7174" width="17.7109375" style="1235" customWidth="1"/>
    <col min="7175" max="7175" width="14.7109375" style="1235" customWidth="1"/>
    <col min="7176" max="7176" width="14.42578125" style="1235" customWidth="1"/>
    <col min="7177" max="7177" width="15.28515625" style="1235" customWidth="1"/>
    <col min="7178" max="7178" width="29.140625" style="1235" customWidth="1"/>
    <col min="7179" max="7179" width="17.7109375" style="1235" customWidth="1"/>
    <col min="7180" max="7180" width="1.28515625" style="1235" customWidth="1"/>
    <col min="7181" max="7181" width="14.5703125" style="1235" customWidth="1"/>
    <col min="7182" max="7424" width="11.42578125" style="1235"/>
    <col min="7425" max="7425" width="71" style="1235" customWidth="1"/>
    <col min="7426" max="7430" width="17.7109375" style="1235" customWidth="1"/>
    <col min="7431" max="7431" width="14.7109375" style="1235" customWidth="1"/>
    <col min="7432" max="7432" width="14.42578125" style="1235" customWidth="1"/>
    <col min="7433" max="7433" width="15.28515625" style="1235" customWidth="1"/>
    <col min="7434" max="7434" width="29.140625" style="1235" customWidth="1"/>
    <col min="7435" max="7435" width="17.7109375" style="1235" customWidth="1"/>
    <col min="7436" max="7436" width="1.28515625" style="1235" customWidth="1"/>
    <col min="7437" max="7437" width="14.5703125" style="1235" customWidth="1"/>
    <col min="7438" max="7680" width="11.42578125" style="1235"/>
    <col min="7681" max="7681" width="71" style="1235" customWidth="1"/>
    <col min="7682" max="7686" width="17.7109375" style="1235" customWidth="1"/>
    <col min="7687" max="7687" width="14.7109375" style="1235" customWidth="1"/>
    <col min="7688" max="7688" width="14.42578125" style="1235" customWidth="1"/>
    <col min="7689" max="7689" width="15.28515625" style="1235" customWidth="1"/>
    <col min="7690" max="7690" width="29.140625" style="1235" customWidth="1"/>
    <col min="7691" max="7691" width="17.7109375" style="1235" customWidth="1"/>
    <col min="7692" max="7692" width="1.28515625" style="1235" customWidth="1"/>
    <col min="7693" max="7693" width="14.5703125" style="1235" customWidth="1"/>
    <col min="7694" max="7936" width="11.42578125" style="1235"/>
    <col min="7937" max="7937" width="71" style="1235" customWidth="1"/>
    <col min="7938" max="7942" width="17.7109375" style="1235" customWidth="1"/>
    <col min="7943" max="7943" width="14.7109375" style="1235" customWidth="1"/>
    <col min="7944" max="7944" width="14.42578125" style="1235" customWidth="1"/>
    <col min="7945" max="7945" width="15.28515625" style="1235" customWidth="1"/>
    <col min="7946" max="7946" width="29.140625" style="1235" customWidth="1"/>
    <col min="7947" max="7947" width="17.7109375" style="1235" customWidth="1"/>
    <col min="7948" max="7948" width="1.28515625" style="1235" customWidth="1"/>
    <col min="7949" max="7949" width="14.5703125" style="1235" customWidth="1"/>
    <col min="7950" max="8192" width="11.42578125" style="1235"/>
    <col min="8193" max="8193" width="71" style="1235" customWidth="1"/>
    <col min="8194" max="8198" width="17.7109375" style="1235" customWidth="1"/>
    <col min="8199" max="8199" width="14.7109375" style="1235" customWidth="1"/>
    <col min="8200" max="8200" width="14.42578125" style="1235" customWidth="1"/>
    <col min="8201" max="8201" width="15.28515625" style="1235" customWidth="1"/>
    <col min="8202" max="8202" width="29.140625" style="1235" customWidth="1"/>
    <col min="8203" max="8203" width="17.7109375" style="1235" customWidth="1"/>
    <col min="8204" max="8204" width="1.28515625" style="1235" customWidth="1"/>
    <col min="8205" max="8205" width="14.5703125" style="1235" customWidth="1"/>
    <col min="8206" max="8448" width="11.42578125" style="1235"/>
    <col min="8449" max="8449" width="71" style="1235" customWidth="1"/>
    <col min="8450" max="8454" width="17.7109375" style="1235" customWidth="1"/>
    <col min="8455" max="8455" width="14.7109375" style="1235" customWidth="1"/>
    <col min="8456" max="8456" width="14.42578125" style="1235" customWidth="1"/>
    <col min="8457" max="8457" width="15.28515625" style="1235" customWidth="1"/>
    <col min="8458" max="8458" width="29.140625" style="1235" customWidth="1"/>
    <col min="8459" max="8459" width="17.7109375" style="1235" customWidth="1"/>
    <col min="8460" max="8460" width="1.28515625" style="1235" customWidth="1"/>
    <col min="8461" max="8461" width="14.5703125" style="1235" customWidth="1"/>
    <col min="8462" max="8704" width="11.42578125" style="1235"/>
    <col min="8705" max="8705" width="71" style="1235" customWidth="1"/>
    <col min="8706" max="8710" width="17.7109375" style="1235" customWidth="1"/>
    <col min="8711" max="8711" width="14.7109375" style="1235" customWidth="1"/>
    <col min="8712" max="8712" width="14.42578125" style="1235" customWidth="1"/>
    <col min="8713" max="8713" width="15.28515625" style="1235" customWidth="1"/>
    <col min="8714" max="8714" width="29.140625" style="1235" customWidth="1"/>
    <col min="8715" max="8715" width="17.7109375" style="1235" customWidth="1"/>
    <col min="8716" max="8716" width="1.28515625" style="1235" customWidth="1"/>
    <col min="8717" max="8717" width="14.5703125" style="1235" customWidth="1"/>
    <col min="8718" max="8960" width="11.42578125" style="1235"/>
    <col min="8961" max="8961" width="71" style="1235" customWidth="1"/>
    <col min="8962" max="8966" width="17.7109375" style="1235" customWidth="1"/>
    <col min="8967" max="8967" width="14.7109375" style="1235" customWidth="1"/>
    <col min="8968" max="8968" width="14.42578125" style="1235" customWidth="1"/>
    <col min="8969" max="8969" width="15.28515625" style="1235" customWidth="1"/>
    <col min="8970" max="8970" width="29.140625" style="1235" customWidth="1"/>
    <col min="8971" max="8971" width="17.7109375" style="1235" customWidth="1"/>
    <col min="8972" max="8972" width="1.28515625" style="1235" customWidth="1"/>
    <col min="8973" max="8973" width="14.5703125" style="1235" customWidth="1"/>
    <col min="8974" max="9216" width="11.42578125" style="1235"/>
    <col min="9217" max="9217" width="71" style="1235" customWidth="1"/>
    <col min="9218" max="9222" width="17.7109375" style="1235" customWidth="1"/>
    <col min="9223" max="9223" width="14.7109375" style="1235" customWidth="1"/>
    <col min="9224" max="9224" width="14.42578125" style="1235" customWidth="1"/>
    <col min="9225" max="9225" width="15.28515625" style="1235" customWidth="1"/>
    <col min="9226" max="9226" width="29.140625" style="1235" customWidth="1"/>
    <col min="9227" max="9227" width="17.7109375" style="1235" customWidth="1"/>
    <col min="9228" max="9228" width="1.28515625" style="1235" customWidth="1"/>
    <col min="9229" max="9229" width="14.5703125" style="1235" customWidth="1"/>
    <col min="9230" max="9472" width="11.42578125" style="1235"/>
    <col min="9473" max="9473" width="71" style="1235" customWidth="1"/>
    <col min="9474" max="9478" width="17.7109375" style="1235" customWidth="1"/>
    <col min="9479" max="9479" width="14.7109375" style="1235" customWidth="1"/>
    <col min="9480" max="9480" width="14.42578125" style="1235" customWidth="1"/>
    <col min="9481" max="9481" width="15.28515625" style="1235" customWidth="1"/>
    <col min="9482" max="9482" width="29.140625" style="1235" customWidth="1"/>
    <col min="9483" max="9483" width="17.7109375" style="1235" customWidth="1"/>
    <col min="9484" max="9484" width="1.28515625" style="1235" customWidth="1"/>
    <col min="9485" max="9485" width="14.5703125" style="1235" customWidth="1"/>
    <col min="9486" max="9728" width="11.42578125" style="1235"/>
    <col min="9729" max="9729" width="71" style="1235" customWidth="1"/>
    <col min="9730" max="9734" width="17.7109375" style="1235" customWidth="1"/>
    <col min="9735" max="9735" width="14.7109375" style="1235" customWidth="1"/>
    <col min="9736" max="9736" width="14.42578125" style="1235" customWidth="1"/>
    <col min="9737" max="9737" width="15.28515625" style="1235" customWidth="1"/>
    <col min="9738" max="9738" width="29.140625" style="1235" customWidth="1"/>
    <col min="9739" max="9739" width="17.7109375" style="1235" customWidth="1"/>
    <col min="9740" max="9740" width="1.28515625" style="1235" customWidth="1"/>
    <col min="9741" max="9741" width="14.5703125" style="1235" customWidth="1"/>
    <col min="9742" max="9984" width="11.42578125" style="1235"/>
    <col min="9985" max="9985" width="71" style="1235" customWidth="1"/>
    <col min="9986" max="9990" width="17.7109375" style="1235" customWidth="1"/>
    <col min="9991" max="9991" width="14.7109375" style="1235" customWidth="1"/>
    <col min="9992" max="9992" width="14.42578125" style="1235" customWidth="1"/>
    <col min="9993" max="9993" width="15.28515625" style="1235" customWidth="1"/>
    <col min="9994" max="9994" width="29.140625" style="1235" customWidth="1"/>
    <col min="9995" max="9995" width="17.7109375" style="1235" customWidth="1"/>
    <col min="9996" max="9996" width="1.28515625" style="1235" customWidth="1"/>
    <col min="9997" max="9997" width="14.5703125" style="1235" customWidth="1"/>
    <col min="9998" max="10240" width="11.42578125" style="1235"/>
    <col min="10241" max="10241" width="71" style="1235" customWidth="1"/>
    <col min="10242" max="10246" width="17.7109375" style="1235" customWidth="1"/>
    <col min="10247" max="10247" width="14.7109375" style="1235" customWidth="1"/>
    <col min="10248" max="10248" width="14.42578125" style="1235" customWidth="1"/>
    <col min="10249" max="10249" width="15.28515625" style="1235" customWidth="1"/>
    <col min="10250" max="10250" width="29.140625" style="1235" customWidth="1"/>
    <col min="10251" max="10251" width="17.7109375" style="1235" customWidth="1"/>
    <col min="10252" max="10252" width="1.28515625" style="1235" customWidth="1"/>
    <col min="10253" max="10253" width="14.5703125" style="1235" customWidth="1"/>
    <col min="10254" max="10496" width="11.42578125" style="1235"/>
    <col min="10497" max="10497" width="71" style="1235" customWidth="1"/>
    <col min="10498" max="10502" width="17.7109375" style="1235" customWidth="1"/>
    <col min="10503" max="10503" width="14.7109375" style="1235" customWidth="1"/>
    <col min="10504" max="10504" width="14.42578125" style="1235" customWidth="1"/>
    <col min="10505" max="10505" width="15.28515625" style="1235" customWidth="1"/>
    <col min="10506" max="10506" width="29.140625" style="1235" customWidth="1"/>
    <col min="10507" max="10507" width="17.7109375" style="1235" customWidth="1"/>
    <col min="10508" max="10508" width="1.28515625" style="1235" customWidth="1"/>
    <col min="10509" max="10509" width="14.5703125" style="1235" customWidth="1"/>
    <col min="10510" max="10752" width="11.42578125" style="1235"/>
    <col min="10753" max="10753" width="71" style="1235" customWidth="1"/>
    <col min="10754" max="10758" width="17.7109375" style="1235" customWidth="1"/>
    <col min="10759" max="10759" width="14.7109375" style="1235" customWidth="1"/>
    <col min="10760" max="10760" width="14.42578125" style="1235" customWidth="1"/>
    <col min="10761" max="10761" width="15.28515625" style="1235" customWidth="1"/>
    <col min="10762" max="10762" width="29.140625" style="1235" customWidth="1"/>
    <col min="10763" max="10763" width="17.7109375" style="1235" customWidth="1"/>
    <col min="10764" max="10764" width="1.28515625" style="1235" customWidth="1"/>
    <col min="10765" max="10765" width="14.5703125" style="1235" customWidth="1"/>
    <col min="10766" max="11008" width="11.42578125" style="1235"/>
    <col min="11009" max="11009" width="71" style="1235" customWidth="1"/>
    <col min="11010" max="11014" width="17.7109375" style="1235" customWidth="1"/>
    <col min="11015" max="11015" width="14.7109375" style="1235" customWidth="1"/>
    <col min="11016" max="11016" width="14.42578125" style="1235" customWidth="1"/>
    <col min="11017" max="11017" width="15.28515625" style="1235" customWidth="1"/>
    <col min="11018" max="11018" width="29.140625" style="1235" customWidth="1"/>
    <col min="11019" max="11019" width="17.7109375" style="1235" customWidth="1"/>
    <col min="11020" max="11020" width="1.28515625" style="1235" customWidth="1"/>
    <col min="11021" max="11021" width="14.5703125" style="1235" customWidth="1"/>
    <col min="11022" max="11264" width="11.42578125" style="1235"/>
    <col min="11265" max="11265" width="71" style="1235" customWidth="1"/>
    <col min="11266" max="11270" width="17.7109375" style="1235" customWidth="1"/>
    <col min="11271" max="11271" width="14.7109375" style="1235" customWidth="1"/>
    <col min="11272" max="11272" width="14.42578125" style="1235" customWidth="1"/>
    <col min="11273" max="11273" width="15.28515625" style="1235" customWidth="1"/>
    <col min="11274" max="11274" width="29.140625" style="1235" customWidth="1"/>
    <col min="11275" max="11275" width="17.7109375" style="1235" customWidth="1"/>
    <col min="11276" max="11276" width="1.28515625" style="1235" customWidth="1"/>
    <col min="11277" max="11277" width="14.5703125" style="1235" customWidth="1"/>
    <col min="11278" max="11520" width="11.42578125" style="1235"/>
    <col min="11521" max="11521" width="71" style="1235" customWidth="1"/>
    <col min="11522" max="11526" width="17.7109375" style="1235" customWidth="1"/>
    <col min="11527" max="11527" width="14.7109375" style="1235" customWidth="1"/>
    <col min="11528" max="11528" width="14.42578125" style="1235" customWidth="1"/>
    <col min="11529" max="11529" width="15.28515625" style="1235" customWidth="1"/>
    <col min="11530" max="11530" width="29.140625" style="1235" customWidth="1"/>
    <col min="11531" max="11531" width="17.7109375" style="1235" customWidth="1"/>
    <col min="11532" max="11532" width="1.28515625" style="1235" customWidth="1"/>
    <col min="11533" max="11533" width="14.5703125" style="1235" customWidth="1"/>
    <col min="11534" max="11776" width="11.42578125" style="1235"/>
    <col min="11777" max="11777" width="71" style="1235" customWidth="1"/>
    <col min="11778" max="11782" width="17.7109375" style="1235" customWidth="1"/>
    <col min="11783" max="11783" width="14.7109375" style="1235" customWidth="1"/>
    <col min="11784" max="11784" width="14.42578125" style="1235" customWidth="1"/>
    <col min="11785" max="11785" width="15.28515625" style="1235" customWidth="1"/>
    <col min="11786" max="11786" width="29.140625" style="1235" customWidth="1"/>
    <col min="11787" max="11787" width="17.7109375" style="1235" customWidth="1"/>
    <col min="11788" max="11788" width="1.28515625" style="1235" customWidth="1"/>
    <col min="11789" max="11789" width="14.5703125" style="1235" customWidth="1"/>
    <col min="11790" max="12032" width="11.42578125" style="1235"/>
    <col min="12033" max="12033" width="71" style="1235" customWidth="1"/>
    <col min="12034" max="12038" width="17.7109375" style="1235" customWidth="1"/>
    <col min="12039" max="12039" width="14.7109375" style="1235" customWidth="1"/>
    <col min="12040" max="12040" width="14.42578125" style="1235" customWidth="1"/>
    <col min="12041" max="12041" width="15.28515625" style="1235" customWidth="1"/>
    <col min="12042" max="12042" width="29.140625" style="1235" customWidth="1"/>
    <col min="12043" max="12043" width="17.7109375" style="1235" customWidth="1"/>
    <col min="12044" max="12044" width="1.28515625" style="1235" customWidth="1"/>
    <col min="12045" max="12045" width="14.5703125" style="1235" customWidth="1"/>
    <col min="12046" max="12288" width="11.42578125" style="1235"/>
    <col min="12289" max="12289" width="71" style="1235" customWidth="1"/>
    <col min="12290" max="12294" width="17.7109375" style="1235" customWidth="1"/>
    <col min="12295" max="12295" width="14.7109375" style="1235" customWidth="1"/>
    <col min="12296" max="12296" width="14.42578125" style="1235" customWidth="1"/>
    <col min="12297" max="12297" width="15.28515625" style="1235" customWidth="1"/>
    <col min="12298" max="12298" width="29.140625" style="1235" customWidth="1"/>
    <col min="12299" max="12299" width="17.7109375" style="1235" customWidth="1"/>
    <col min="12300" max="12300" width="1.28515625" style="1235" customWidth="1"/>
    <col min="12301" max="12301" width="14.5703125" style="1235" customWidth="1"/>
    <col min="12302" max="12544" width="11.42578125" style="1235"/>
    <col min="12545" max="12545" width="71" style="1235" customWidth="1"/>
    <col min="12546" max="12550" width="17.7109375" style="1235" customWidth="1"/>
    <col min="12551" max="12551" width="14.7109375" style="1235" customWidth="1"/>
    <col min="12552" max="12552" width="14.42578125" style="1235" customWidth="1"/>
    <col min="12553" max="12553" width="15.28515625" style="1235" customWidth="1"/>
    <col min="12554" max="12554" width="29.140625" style="1235" customWidth="1"/>
    <col min="12555" max="12555" width="17.7109375" style="1235" customWidth="1"/>
    <col min="12556" max="12556" width="1.28515625" style="1235" customWidth="1"/>
    <col min="12557" max="12557" width="14.5703125" style="1235" customWidth="1"/>
    <col min="12558" max="12800" width="11.42578125" style="1235"/>
    <col min="12801" max="12801" width="71" style="1235" customWidth="1"/>
    <col min="12802" max="12806" width="17.7109375" style="1235" customWidth="1"/>
    <col min="12807" max="12807" width="14.7109375" style="1235" customWidth="1"/>
    <col min="12808" max="12808" width="14.42578125" style="1235" customWidth="1"/>
    <col min="12809" max="12809" width="15.28515625" style="1235" customWidth="1"/>
    <col min="12810" max="12810" width="29.140625" style="1235" customWidth="1"/>
    <col min="12811" max="12811" width="17.7109375" style="1235" customWidth="1"/>
    <col min="12812" max="12812" width="1.28515625" style="1235" customWidth="1"/>
    <col min="12813" max="12813" width="14.5703125" style="1235" customWidth="1"/>
    <col min="12814" max="13056" width="11.42578125" style="1235"/>
    <col min="13057" max="13057" width="71" style="1235" customWidth="1"/>
    <col min="13058" max="13062" width="17.7109375" style="1235" customWidth="1"/>
    <col min="13063" max="13063" width="14.7109375" style="1235" customWidth="1"/>
    <col min="13064" max="13064" width="14.42578125" style="1235" customWidth="1"/>
    <col min="13065" max="13065" width="15.28515625" style="1235" customWidth="1"/>
    <col min="13066" max="13066" width="29.140625" style="1235" customWidth="1"/>
    <col min="13067" max="13067" width="17.7109375" style="1235" customWidth="1"/>
    <col min="13068" max="13068" width="1.28515625" style="1235" customWidth="1"/>
    <col min="13069" max="13069" width="14.5703125" style="1235" customWidth="1"/>
    <col min="13070" max="13312" width="11.42578125" style="1235"/>
    <col min="13313" max="13313" width="71" style="1235" customWidth="1"/>
    <col min="13314" max="13318" width="17.7109375" style="1235" customWidth="1"/>
    <col min="13319" max="13319" width="14.7109375" style="1235" customWidth="1"/>
    <col min="13320" max="13320" width="14.42578125" style="1235" customWidth="1"/>
    <col min="13321" max="13321" width="15.28515625" style="1235" customWidth="1"/>
    <col min="13322" max="13322" width="29.140625" style="1235" customWidth="1"/>
    <col min="13323" max="13323" width="17.7109375" style="1235" customWidth="1"/>
    <col min="13324" max="13324" width="1.28515625" style="1235" customWidth="1"/>
    <col min="13325" max="13325" width="14.5703125" style="1235" customWidth="1"/>
    <col min="13326" max="13568" width="11.42578125" style="1235"/>
    <col min="13569" max="13569" width="71" style="1235" customWidth="1"/>
    <col min="13570" max="13574" width="17.7109375" style="1235" customWidth="1"/>
    <col min="13575" max="13575" width="14.7109375" style="1235" customWidth="1"/>
    <col min="13576" max="13576" width="14.42578125" style="1235" customWidth="1"/>
    <col min="13577" max="13577" width="15.28515625" style="1235" customWidth="1"/>
    <col min="13578" max="13578" width="29.140625" style="1235" customWidth="1"/>
    <col min="13579" max="13579" width="17.7109375" style="1235" customWidth="1"/>
    <col min="13580" max="13580" width="1.28515625" style="1235" customWidth="1"/>
    <col min="13581" max="13581" width="14.5703125" style="1235" customWidth="1"/>
    <col min="13582" max="13824" width="11.42578125" style="1235"/>
    <col min="13825" max="13825" width="71" style="1235" customWidth="1"/>
    <col min="13826" max="13830" width="17.7109375" style="1235" customWidth="1"/>
    <col min="13831" max="13831" width="14.7109375" style="1235" customWidth="1"/>
    <col min="13832" max="13832" width="14.42578125" style="1235" customWidth="1"/>
    <col min="13833" max="13833" width="15.28515625" style="1235" customWidth="1"/>
    <col min="13834" max="13834" width="29.140625" style="1235" customWidth="1"/>
    <col min="13835" max="13835" width="17.7109375" style="1235" customWidth="1"/>
    <col min="13836" max="13836" width="1.28515625" style="1235" customWidth="1"/>
    <col min="13837" max="13837" width="14.5703125" style="1235" customWidth="1"/>
    <col min="13838" max="14080" width="11.42578125" style="1235"/>
    <col min="14081" max="14081" width="71" style="1235" customWidth="1"/>
    <col min="14082" max="14086" width="17.7109375" style="1235" customWidth="1"/>
    <col min="14087" max="14087" width="14.7109375" style="1235" customWidth="1"/>
    <col min="14088" max="14088" width="14.42578125" style="1235" customWidth="1"/>
    <col min="14089" max="14089" width="15.28515625" style="1235" customWidth="1"/>
    <col min="14090" max="14090" width="29.140625" style="1235" customWidth="1"/>
    <col min="14091" max="14091" width="17.7109375" style="1235" customWidth="1"/>
    <col min="14092" max="14092" width="1.28515625" style="1235" customWidth="1"/>
    <col min="14093" max="14093" width="14.5703125" style="1235" customWidth="1"/>
    <col min="14094" max="14336" width="11.42578125" style="1235"/>
    <col min="14337" max="14337" width="71" style="1235" customWidth="1"/>
    <col min="14338" max="14342" width="17.7109375" style="1235" customWidth="1"/>
    <col min="14343" max="14343" width="14.7109375" style="1235" customWidth="1"/>
    <col min="14344" max="14344" width="14.42578125" style="1235" customWidth="1"/>
    <col min="14345" max="14345" width="15.28515625" style="1235" customWidth="1"/>
    <col min="14346" max="14346" width="29.140625" style="1235" customWidth="1"/>
    <col min="14347" max="14347" width="17.7109375" style="1235" customWidth="1"/>
    <col min="14348" max="14348" width="1.28515625" style="1235" customWidth="1"/>
    <col min="14349" max="14349" width="14.5703125" style="1235" customWidth="1"/>
    <col min="14350" max="14592" width="11.42578125" style="1235"/>
    <col min="14593" max="14593" width="71" style="1235" customWidth="1"/>
    <col min="14594" max="14598" width="17.7109375" style="1235" customWidth="1"/>
    <col min="14599" max="14599" width="14.7109375" style="1235" customWidth="1"/>
    <col min="14600" max="14600" width="14.42578125" style="1235" customWidth="1"/>
    <col min="14601" max="14601" width="15.28515625" style="1235" customWidth="1"/>
    <col min="14602" max="14602" width="29.140625" style="1235" customWidth="1"/>
    <col min="14603" max="14603" width="17.7109375" style="1235" customWidth="1"/>
    <col min="14604" max="14604" width="1.28515625" style="1235" customWidth="1"/>
    <col min="14605" max="14605" width="14.5703125" style="1235" customWidth="1"/>
    <col min="14606" max="14848" width="11.42578125" style="1235"/>
    <col min="14849" max="14849" width="71" style="1235" customWidth="1"/>
    <col min="14850" max="14854" width="17.7109375" style="1235" customWidth="1"/>
    <col min="14855" max="14855" width="14.7109375" style="1235" customWidth="1"/>
    <col min="14856" max="14856" width="14.42578125" style="1235" customWidth="1"/>
    <col min="14857" max="14857" width="15.28515625" style="1235" customWidth="1"/>
    <col min="14858" max="14858" width="29.140625" style="1235" customWidth="1"/>
    <col min="14859" max="14859" width="17.7109375" style="1235" customWidth="1"/>
    <col min="14860" max="14860" width="1.28515625" style="1235" customWidth="1"/>
    <col min="14861" max="14861" width="14.5703125" style="1235" customWidth="1"/>
    <col min="14862" max="15104" width="11.42578125" style="1235"/>
    <col min="15105" max="15105" width="71" style="1235" customWidth="1"/>
    <col min="15106" max="15110" width="17.7109375" style="1235" customWidth="1"/>
    <col min="15111" max="15111" width="14.7109375" style="1235" customWidth="1"/>
    <col min="15112" max="15112" width="14.42578125" style="1235" customWidth="1"/>
    <col min="15113" max="15113" width="15.28515625" style="1235" customWidth="1"/>
    <col min="15114" max="15114" width="29.140625" style="1235" customWidth="1"/>
    <col min="15115" max="15115" width="17.7109375" style="1235" customWidth="1"/>
    <col min="15116" max="15116" width="1.28515625" style="1235" customWidth="1"/>
    <col min="15117" max="15117" width="14.5703125" style="1235" customWidth="1"/>
    <col min="15118" max="15360" width="11.42578125" style="1235"/>
    <col min="15361" max="15361" width="71" style="1235" customWidth="1"/>
    <col min="15362" max="15366" width="17.7109375" style="1235" customWidth="1"/>
    <col min="15367" max="15367" width="14.7109375" style="1235" customWidth="1"/>
    <col min="15368" max="15368" width="14.42578125" style="1235" customWidth="1"/>
    <col min="15369" max="15369" width="15.28515625" style="1235" customWidth="1"/>
    <col min="15370" max="15370" width="29.140625" style="1235" customWidth="1"/>
    <col min="15371" max="15371" width="17.7109375" style="1235" customWidth="1"/>
    <col min="15372" max="15372" width="1.28515625" style="1235" customWidth="1"/>
    <col min="15373" max="15373" width="14.5703125" style="1235" customWidth="1"/>
    <col min="15374" max="15616" width="11.42578125" style="1235"/>
    <col min="15617" max="15617" width="71" style="1235" customWidth="1"/>
    <col min="15618" max="15622" width="17.7109375" style="1235" customWidth="1"/>
    <col min="15623" max="15623" width="14.7109375" style="1235" customWidth="1"/>
    <col min="15624" max="15624" width="14.42578125" style="1235" customWidth="1"/>
    <col min="15625" max="15625" width="15.28515625" style="1235" customWidth="1"/>
    <col min="15626" max="15626" width="29.140625" style="1235" customWidth="1"/>
    <col min="15627" max="15627" width="17.7109375" style="1235" customWidth="1"/>
    <col min="15628" max="15628" width="1.28515625" style="1235" customWidth="1"/>
    <col min="15629" max="15629" width="14.5703125" style="1235" customWidth="1"/>
    <col min="15630" max="15872" width="11.42578125" style="1235"/>
    <col min="15873" max="15873" width="71" style="1235" customWidth="1"/>
    <col min="15874" max="15878" width="17.7109375" style="1235" customWidth="1"/>
    <col min="15879" max="15879" width="14.7109375" style="1235" customWidth="1"/>
    <col min="15880" max="15880" width="14.42578125" style="1235" customWidth="1"/>
    <col min="15881" max="15881" width="15.28515625" style="1235" customWidth="1"/>
    <col min="15882" max="15882" width="29.140625" style="1235" customWidth="1"/>
    <col min="15883" max="15883" width="17.7109375" style="1235" customWidth="1"/>
    <col min="15884" max="15884" width="1.28515625" style="1235" customWidth="1"/>
    <col min="15885" max="15885" width="14.5703125" style="1235" customWidth="1"/>
    <col min="15886" max="16128" width="11.42578125" style="1235"/>
    <col min="16129" max="16129" width="71" style="1235" customWidth="1"/>
    <col min="16130" max="16134" width="17.7109375" style="1235" customWidth="1"/>
    <col min="16135" max="16135" width="14.7109375" style="1235" customWidth="1"/>
    <col min="16136" max="16136" width="14.42578125" style="1235" customWidth="1"/>
    <col min="16137" max="16137" width="15.28515625" style="1235" customWidth="1"/>
    <col min="16138" max="16138" width="29.140625" style="1235" customWidth="1"/>
    <col min="16139" max="16139" width="17.7109375" style="1235" customWidth="1"/>
    <col min="16140" max="16140" width="1.28515625" style="1235" customWidth="1"/>
    <col min="16141" max="16141" width="14.5703125" style="1235" customWidth="1"/>
    <col min="16142" max="16384" width="11.42578125" style="1235"/>
  </cols>
  <sheetData>
    <row r="1" spans="1:11" s="1221" customFormat="1"/>
    <row r="2" spans="1:11" s="1221" customFormat="1"/>
    <row r="3" spans="1:11" s="1221" customFormat="1">
      <c r="A3" s="1222"/>
    </row>
    <row r="4" spans="1:11" s="1221" customFormat="1">
      <c r="A4" s="1222"/>
    </row>
    <row r="5" spans="1:11" s="1221" customFormat="1">
      <c r="A5" s="1223"/>
    </row>
    <row r="6" spans="1:11" s="1221" customFormat="1"/>
    <row r="7" spans="1:11" s="1221" customFormat="1"/>
    <row r="8" spans="1:11" s="1221" customFormat="1">
      <c r="A8" s="1224" t="s">
        <v>235</v>
      </c>
      <c r="B8" s="1225"/>
      <c r="C8" s="1225"/>
      <c r="D8" s="1225"/>
      <c r="E8" s="1225"/>
      <c r="F8" s="1225"/>
      <c r="G8" s="1225"/>
      <c r="H8" s="1225"/>
      <c r="I8" s="1225"/>
      <c r="J8" s="1225"/>
      <c r="K8" s="1226" t="s">
        <v>234</v>
      </c>
    </row>
    <row r="9" spans="1:11" s="1221" customFormat="1">
      <c r="A9" s="1224" t="s">
        <v>2277</v>
      </c>
      <c r="B9" s="1225"/>
      <c r="C9" s="1225"/>
      <c r="D9" s="1225"/>
      <c r="E9" s="1225"/>
      <c r="F9" s="1225"/>
      <c r="G9" s="1225"/>
      <c r="H9" s="1225"/>
      <c r="I9" s="1225"/>
      <c r="J9" s="1225"/>
      <c r="K9" s="1226"/>
    </row>
    <row r="10" spans="1:11" s="1221" customFormat="1" ht="15.75">
      <c r="A10" s="1227" t="s">
        <v>2278</v>
      </c>
      <c r="B10" s="1225"/>
      <c r="C10" s="1225"/>
      <c r="D10" s="1225"/>
      <c r="E10" s="1225"/>
      <c r="F10" s="1225"/>
      <c r="G10" s="1225"/>
      <c r="H10" s="1225"/>
      <c r="I10" s="1225"/>
      <c r="J10" s="1225"/>
      <c r="K10" s="1225"/>
    </row>
    <row r="11" spans="1:11" s="1221" customFormat="1">
      <c r="A11" s="1224" t="s">
        <v>232</v>
      </c>
      <c r="B11" s="1225"/>
      <c r="C11" s="1225"/>
      <c r="D11" s="1225"/>
      <c r="E11" s="1225"/>
      <c r="F11" s="1225"/>
      <c r="G11" s="1225"/>
      <c r="H11" s="1225"/>
      <c r="I11" s="1225"/>
      <c r="J11" s="1225"/>
      <c r="K11" s="1225"/>
    </row>
    <row r="12" spans="1:11" s="1221" customFormat="1"/>
    <row r="13" spans="1:11" s="1221" customFormat="1">
      <c r="A13" s="1228" t="s">
        <v>228</v>
      </c>
      <c r="B13" s="1228" t="s">
        <v>227</v>
      </c>
      <c r="C13" s="1228" t="s">
        <v>226</v>
      </c>
      <c r="D13" s="1228"/>
      <c r="E13" s="1229" t="s">
        <v>225</v>
      </c>
      <c r="F13" s="1229"/>
      <c r="G13" s="1228" t="s">
        <v>224</v>
      </c>
      <c r="H13" s="1505" t="s">
        <v>223</v>
      </c>
      <c r="I13" s="1505"/>
      <c r="J13" s="1228" t="s">
        <v>222</v>
      </c>
      <c r="K13" s="1228" t="s">
        <v>221</v>
      </c>
    </row>
    <row r="14" spans="1:11" s="1230" customFormat="1" ht="15" customHeight="1">
      <c r="A14" s="1506" t="s">
        <v>220</v>
      </c>
      <c r="B14" s="1504" t="s">
        <v>219</v>
      </c>
      <c r="C14" s="1504" t="s">
        <v>218</v>
      </c>
      <c r="D14" s="1504" t="s">
        <v>217</v>
      </c>
      <c r="E14" s="1507" t="s">
        <v>216</v>
      </c>
      <c r="F14" s="1507"/>
      <c r="G14" s="1504" t="s">
        <v>215</v>
      </c>
      <c r="H14" s="1507" t="s">
        <v>214</v>
      </c>
      <c r="I14" s="1507"/>
      <c r="J14" s="1504" t="s">
        <v>240</v>
      </c>
      <c r="K14" s="1504" t="s">
        <v>2279</v>
      </c>
    </row>
    <row r="15" spans="1:11" s="1230" customFormat="1">
      <c r="A15" s="1506"/>
      <c r="B15" s="1504"/>
      <c r="C15" s="1504"/>
      <c r="D15" s="1504"/>
      <c r="E15" s="1231" t="s">
        <v>211</v>
      </c>
      <c r="F15" s="1232" t="s">
        <v>210</v>
      </c>
      <c r="G15" s="1504"/>
      <c r="H15" s="1231" t="s">
        <v>211</v>
      </c>
      <c r="I15" s="1232" t="s">
        <v>210</v>
      </c>
      <c r="J15" s="1504"/>
      <c r="K15" s="1504"/>
    </row>
    <row r="16" spans="1:11" ht="15.95" customHeight="1">
      <c r="A16" s="1233" t="s">
        <v>207</v>
      </c>
      <c r="B16" s="1234"/>
      <c r="C16" s="1234"/>
      <c r="D16" s="1234"/>
      <c r="E16" s="1234"/>
      <c r="F16" s="1234"/>
      <c r="G16" s="1234"/>
      <c r="H16" s="1234"/>
      <c r="I16" s="1234"/>
      <c r="J16" s="1234"/>
      <c r="K16" s="1234"/>
    </row>
    <row r="17" spans="1:11" ht="15.95" customHeight="1">
      <c r="A17" s="1236" t="s">
        <v>2280</v>
      </c>
      <c r="B17" s="1236" t="s">
        <v>2281</v>
      </c>
      <c r="C17" s="1236" t="s">
        <v>2282</v>
      </c>
      <c r="D17" s="1237"/>
      <c r="E17" s="1238">
        <v>1.9E-3</v>
      </c>
      <c r="F17" s="1238">
        <v>2.5000000000000001E-3</v>
      </c>
      <c r="G17" s="1237"/>
      <c r="H17" s="1237"/>
      <c r="I17" s="1237"/>
      <c r="J17" s="1236" t="s">
        <v>2283</v>
      </c>
      <c r="K17" s="1239">
        <f>40733088.41+29566786.89</f>
        <v>70299875.299999997</v>
      </c>
    </row>
    <row r="18" spans="1:11" ht="15.95" customHeight="1">
      <c r="A18" s="1240" t="s">
        <v>1170</v>
      </c>
      <c r="B18" s="1240" t="s">
        <v>2284</v>
      </c>
      <c r="C18" s="1240" t="s">
        <v>205</v>
      </c>
      <c r="D18" s="1237"/>
      <c r="E18" s="1241">
        <v>5.0000000000000001E-3</v>
      </c>
      <c r="F18" s="1241">
        <v>0.06</v>
      </c>
      <c r="G18" s="1242"/>
      <c r="H18" s="1242"/>
      <c r="I18" s="1242"/>
      <c r="J18" s="1236" t="s">
        <v>2285</v>
      </c>
      <c r="K18" s="1239">
        <f>45504903.96+73505.02+141989.77</f>
        <v>45720398.750000007</v>
      </c>
    </row>
    <row r="19" spans="1:11" ht="15.95" customHeight="1">
      <c r="A19" s="1240" t="s">
        <v>2286</v>
      </c>
      <c r="B19" s="1243" t="s">
        <v>2287</v>
      </c>
      <c r="C19" s="1240" t="s">
        <v>2282</v>
      </c>
      <c r="D19" s="1237"/>
      <c r="E19" s="1242"/>
      <c r="F19" s="1242"/>
      <c r="G19" s="1242"/>
      <c r="H19" s="1244">
        <v>260</v>
      </c>
      <c r="I19" s="1244">
        <v>1760</v>
      </c>
      <c r="J19" s="1236" t="s">
        <v>2288</v>
      </c>
      <c r="K19" s="1239">
        <f>12369857.5+8950344.3</f>
        <v>21320201.800000001</v>
      </c>
    </row>
    <row r="20" spans="1:11" ht="15.95" customHeight="1">
      <c r="A20" s="1240" t="s">
        <v>2289</v>
      </c>
      <c r="B20" s="1240" t="s">
        <v>2290</v>
      </c>
      <c r="C20" s="1243" t="s">
        <v>758</v>
      </c>
      <c r="D20" s="1245">
        <v>8.6956000000000006E-2</v>
      </c>
      <c r="E20" s="1237"/>
      <c r="F20" s="1237"/>
      <c r="G20" s="1237"/>
      <c r="H20" s="1237"/>
      <c r="I20" s="1237"/>
      <c r="J20" s="1236" t="s">
        <v>2291</v>
      </c>
      <c r="K20" s="1239">
        <f>2316285.32+18102233.99</f>
        <v>20418519.309999999</v>
      </c>
    </row>
    <row r="21" spans="1:11" ht="15.95" customHeight="1">
      <c r="A21" s="1240" t="s">
        <v>2292</v>
      </c>
      <c r="B21" s="1240" t="s">
        <v>2293</v>
      </c>
      <c r="C21" s="1240" t="s">
        <v>888</v>
      </c>
      <c r="D21" s="1237"/>
      <c r="E21" s="1242"/>
      <c r="F21" s="1242"/>
      <c r="G21" s="1242"/>
      <c r="H21" s="1246"/>
      <c r="I21" s="1246"/>
      <c r="J21" s="1236" t="s">
        <v>2294</v>
      </c>
      <c r="K21" s="1239">
        <f>2881217.97+716116.29+9334157.04+2778717.87</f>
        <v>15710209.169999998</v>
      </c>
    </row>
    <row r="22" spans="1:11" ht="15.95" customHeight="1">
      <c r="A22" s="1240" t="s">
        <v>2295</v>
      </c>
      <c r="B22" s="1240" t="s">
        <v>491</v>
      </c>
      <c r="C22" s="1240" t="s">
        <v>283</v>
      </c>
      <c r="D22" s="1237"/>
      <c r="E22" s="1242"/>
      <c r="F22" s="1242"/>
      <c r="G22" s="1247">
        <v>190000</v>
      </c>
      <c r="H22" s="1246"/>
      <c r="I22" s="1246"/>
      <c r="J22" s="1236" t="s">
        <v>2296</v>
      </c>
      <c r="K22" s="1239">
        <v>380000</v>
      </c>
    </row>
    <row r="23" spans="1:11" ht="15.95" customHeight="1">
      <c r="A23" s="1240" t="s">
        <v>281</v>
      </c>
      <c r="B23" s="1240" t="s">
        <v>491</v>
      </c>
      <c r="C23" s="1240" t="s">
        <v>205</v>
      </c>
      <c r="D23" s="1237"/>
      <c r="E23" s="1242"/>
      <c r="F23" s="1242"/>
      <c r="G23" s="1242"/>
      <c r="H23" s="1244">
        <v>288.54000000000002</v>
      </c>
      <c r="I23" s="1244">
        <v>1296.2</v>
      </c>
      <c r="J23" s="1248" t="s">
        <v>2297</v>
      </c>
      <c r="K23" s="1239">
        <v>20305.59</v>
      </c>
    </row>
    <row r="24" spans="1:11" s="1221" customFormat="1" ht="15.95" customHeight="1">
      <c r="A24" s="1249" t="s">
        <v>191</v>
      </c>
      <c r="B24" s="1250"/>
      <c r="C24" s="1250"/>
      <c r="D24" s="1250"/>
      <c r="E24" s="1250"/>
      <c r="F24" s="1250"/>
      <c r="G24" s="1250"/>
      <c r="H24" s="1250"/>
      <c r="I24" s="1250"/>
      <c r="J24" s="1250"/>
      <c r="K24" s="1250"/>
    </row>
    <row r="25" spans="1:11" s="1255" customFormat="1" ht="15.95" customHeight="1">
      <c r="A25" s="1240" t="s">
        <v>2298</v>
      </c>
      <c r="B25" s="1240" t="s">
        <v>2299</v>
      </c>
      <c r="C25" s="1240" t="s">
        <v>888</v>
      </c>
      <c r="D25" s="1237"/>
      <c r="E25" s="1251"/>
      <c r="F25" s="1251"/>
      <c r="G25" s="1251"/>
      <c r="H25" s="1252"/>
      <c r="I25" s="1252"/>
      <c r="J25" s="1253" t="s">
        <v>2300</v>
      </c>
      <c r="K25" s="1254">
        <f>9584565.92+146711.97</f>
        <v>9731277.8900000006</v>
      </c>
    </row>
    <row r="26" spans="1:11" ht="15.95" customHeight="1">
      <c r="A26" s="1233" t="s">
        <v>1568</v>
      </c>
      <c r="B26" s="1234"/>
      <c r="C26" s="1234"/>
      <c r="D26" s="1234"/>
      <c r="E26" s="1234"/>
      <c r="F26" s="1234"/>
      <c r="G26" s="1234"/>
      <c r="H26" s="1234"/>
      <c r="I26" s="1234"/>
      <c r="J26" s="1234"/>
      <c r="K26" s="1234"/>
    </row>
    <row r="27" spans="1:11" ht="15.95" customHeight="1">
      <c r="A27" s="1240" t="s">
        <v>298</v>
      </c>
      <c r="B27" s="1240" t="s">
        <v>491</v>
      </c>
      <c r="C27" s="1240" t="s">
        <v>888</v>
      </c>
      <c r="D27" s="1237"/>
      <c r="E27" s="1251"/>
      <c r="F27" s="1251"/>
      <c r="G27" s="1251"/>
      <c r="H27" s="1252">
        <v>170</v>
      </c>
      <c r="I27" s="1252">
        <v>2240</v>
      </c>
      <c r="J27" s="1253" t="s">
        <v>2301</v>
      </c>
      <c r="K27" s="1254">
        <v>2682230.0099999998</v>
      </c>
    </row>
    <row r="28" spans="1:11" ht="15.95" customHeight="1">
      <c r="A28" s="1240" t="s">
        <v>262</v>
      </c>
      <c r="B28" s="1240" t="s">
        <v>491</v>
      </c>
      <c r="C28" s="1240" t="s">
        <v>283</v>
      </c>
      <c r="D28" s="1237"/>
      <c r="E28" s="1242"/>
      <c r="F28" s="1242"/>
      <c r="G28" s="1242"/>
      <c r="H28" s="1244">
        <v>5250</v>
      </c>
      <c r="I28" s="1244">
        <v>23200</v>
      </c>
      <c r="J28" s="1248" t="s">
        <v>2302</v>
      </c>
      <c r="K28" s="1239">
        <v>1726144.5</v>
      </c>
    </row>
    <row r="29" spans="1:11" ht="15.95" customHeight="1">
      <c r="A29" s="1240" t="s">
        <v>1816</v>
      </c>
      <c r="B29" s="1240" t="s">
        <v>2303</v>
      </c>
      <c r="C29" s="1240" t="s">
        <v>888</v>
      </c>
      <c r="D29" s="1237"/>
      <c r="E29" s="1238">
        <v>3.0000000000000005E-3</v>
      </c>
      <c r="F29" s="1238">
        <v>1.3000000000000001E-2</v>
      </c>
      <c r="G29" s="1242"/>
      <c r="H29" s="1244"/>
      <c r="I29" s="1244"/>
      <c r="J29" s="1248" t="s">
        <v>2304</v>
      </c>
      <c r="K29" s="1239">
        <v>1022804.67</v>
      </c>
    </row>
    <row r="30" spans="1:11" ht="15.95" customHeight="1">
      <c r="A30" s="1240" t="s">
        <v>1820</v>
      </c>
      <c r="B30" s="1240" t="s">
        <v>491</v>
      </c>
      <c r="C30" s="1240" t="s">
        <v>888</v>
      </c>
      <c r="D30" s="1237"/>
      <c r="E30" s="1242"/>
      <c r="F30" s="1242"/>
      <c r="G30" s="1242"/>
      <c r="H30" s="1244"/>
      <c r="I30" s="1244"/>
      <c r="J30" s="1248" t="s">
        <v>2305</v>
      </c>
      <c r="K30" s="1239">
        <f>120570+1010.4+289500+33490+155668.48</f>
        <v>600238.88</v>
      </c>
    </row>
    <row r="31" spans="1:11" ht="15.95" customHeight="1">
      <c r="A31" s="1240" t="s">
        <v>967</v>
      </c>
      <c r="B31" s="1240" t="s">
        <v>491</v>
      </c>
      <c r="C31" s="1240" t="s">
        <v>283</v>
      </c>
      <c r="D31" s="1237"/>
      <c r="E31" s="1242"/>
      <c r="F31" s="1242"/>
      <c r="G31" s="1247">
        <v>1320</v>
      </c>
      <c r="H31" s="1244"/>
      <c r="I31" s="1244"/>
      <c r="J31" s="1248" t="s">
        <v>2306</v>
      </c>
      <c r="K31" s="1239">
        <v>171300</v>
      </c>
    </row>
    <row r="32" spans="1:11" ht="15.95" customHeight="1">
      <c r="A32" s="1240" t="s">
        <v>308</v>
      </c>
      <c r="B32" s="1240" t="s">
        <v>491</v>
      </c>
      <c r="C32" s="1240" t="s">
        <v>888</v>
      </c>
      <c r="D32" s="1237"/>
      <c r="E32" s="1242"/>
      <c r="F32" s="1242"/>
      <c r="G32" s="1242"/>
      <c r="H32" s="1244">
        <v>88.77</v>
      </c>
      <c r="I32" s="1244">
        <v>2241.65</v>
      </c>
      <c r="J32" s="1248" t="s">
        <v>2307</v>
      </c>
      <c r="K32" s="1239">
        <v>109450.53</v>
      </c>
    </row>
    <row r="33" spans="1:11" ht="15.95" customHeight="1">
      <c r="A33" s="1240" t="s">
        <v>2308</v>
      </c>
      <c r="B33" s="1240" t="s">
        <v>491</v>
      </c>
      <c r="C33" s="1240" t="s">
        <v>888</v>
      </c>
      <c r="D33" s="1237"/>
      <c r="E33" s="1242"/>
      <c r="F33" s="1242"/>
      <c r="G33" s="1247"/>
      <c r="H33" s="1244"/>
      <c r="I33" s="1244"/>
      <c r="J33" s="1248" t="s">
        <v>2309</v>
      </c>
      <c r="K33" s="1239">
        <v>19073.400000000001</v>
      </c>
    </row>
    <row r="34" spans="1:11" ht="15.95" customHeight="1">
      <c r="A34" s="1240" t="s">
        <v>1000</v>
      </c>
      <c r="B34" s="1240" t="s">
        <v>491</v>
      </c>
      <c r="C34" s="1240" t="s">
        <v>643</v>
      </c>
      <c r="D34" s="1237"/>
      <c r="E34" s="1242"/>
      <c r="F34" s="1242"/>
      <c r="G34" s="1247">
        <v>4110.12</v>
      </c>
      <c r="H34" s="1244"/>
      <c r="I34" s="1244"/>
      <c r="J34" s="1248" t="s">
        <v>2310</v>
      </c>
      <c r="K34" s="1239">
        <v>6267.86</v>
      </c>
    </row>
    <row r="35" spans="1:11" ht="15.95" customHeight="1">
      <c r="A35" s="1249" t="s">
        <v>1579</v>
      </c>
      <c r="B35" s="1234"/>
      <c r="C35" s="1234"/>
      <c r="D35" s="1234"/>
      <c r="E35" s="1234"/>
      <c r="F35" s="1234"/>
      <c r="G35" s="1234"/>
      <c r="H35" s="1234"/>
      <c r="I35" s="1234"/>
      <c r="J35" s="1234"/>
      <c r="K35" s="1234"/>
    </row>
    <row r="36" spans="1:11" ht="24.95" customHeight="1">
      <c r="A36" s="1240" t="s">
        <v>2311</v>
      </c>
      <c r="B36" s="1240" t="s">
        <v>2312</v>
      </c>
      <c r="C36" s="1256" t="s">
        <v>758</v>
      </c>
      <c r="D36" s="1257" t="s">
        <v>2313</v>
      </c>
      <c r="E36" s="1251"/>
      <c r="F36" s="1251"/>
      <c r="G36" s="1251"/>
      <c r="H36" s="1252"/>
      <c r="I36" s="1252"/>
      <c r="J36" s="1258" t="s">
        <v>2314</v>
      </c>
      <c r="K36" s="1254">
        <v>1473875.58</v>
      </c>
    </row>
    <row r="37" spans="1:11" ht="15.95" customHeight="1">
      <c r="A37" s="1240" t="s">
        <v>683</v>
      </c>
      <c r="B37" s="1240" t="s">
        <v>2312</v>
      </c>
      <c r="C37" s="1240" t="s">
        <v>888</v>
      </c>
      <c r="D37" s="1237"/>
      <c r="E37" s="1238">
        <v>0.02</v>
      </c>
      <c r="F37" s="1238">
        <v>0.25</v>
      </c>
      <c r="G37" s="1242"/>
      <c r="H37" s="1244"/>
      <c r="I37" s="1244"/>
      <c r="J37" s="1248" t="s">
        <v>2315</v>
      </c>
      <c r="K37" s="1239">
        <v>834814.08</v>
      </c>
    </row>
    <row r="38" spans="1:11" ht="15.95" customHeight="1">
      <c r="A38" s="1240" t="s">
        <v>2316</v>
      </c>
      <c r="B38" s="1240" t="s">
        <v>2317</v>
      </c>
      <c r="C38" s="1240" t="s">
        <v>888</v>
      </c>
      <c r="D38" s="1237"/>
      <c r="E38" s="1242"/>
      <c r="F38" s="1242"/>
      <c r="G38" s="1242"/>
      <c r="H38" s="1244" t="s">
        <v>2318</v>
      </c>
      <c r="I38" s="1244" t="s">
        <v>2319</v>
      </c>
      <c r="J38" s="1248" t="s">
        <v>2320</v>
      </c>
      <c r="K38" s="1239">
        <f>699876.8+26099.99</f>
        <v>725976.79</v>
      </c>
    </row>
    <row r="39" spans="1:11" s="1221" customFormat="1" ht="15.95" customHeight="1">
      <c r="A39" s="1249" t="s">
        <v>1580</v>
      </c>
      <c r="B39" s="1250"/>
      <c r="C39" s="1250"/>
      <c r="D39" s="1250"/>
      <c r="E39" s="1250"/>
      <c r="F39" s="1250"/>
      <c r="G39" s="1250"/>
      <c r="H39" s="1250"/>
      <c r="I39" s="1250"/>
      <c r="J39" s="1250"/>
      <c r="K39" s="1250"/>
    </row>
    <row r="40" spans="1:11" s="1221" customFormat="1" ht="15.95" customHeight="1">
      <c r="A40" s="1240" t="s">
        <v>2321</v>
      </c>
      <c r="B40" s="1240" t="s">
        <v>491</v>
      </c>
      <c r="C40" s="1240" t="s">
        <v>758</v>
      </c>
      <c r="D40" s="1237"/>
      <c r="E40" s="1251"/>
      <c r="F40" s="1251"/>
      <c r="G40" s="1252"/>
      <c r="H40" s="1252" t="s">
        <v>2322</v>
      </c>
      <c r="I40" s="1252" t="s">
        <v>2323</v>
      </c>
      <c r="J40" s="1248" t="s">
        <v>2324</v>
      </c>
      <c r="K40" s="1239">
        <v>508855.09</v>
      </c>
    </row>
    <row r="41" spans="1:11" s="1221" customFormat="1" ht="27.95" customHeight="1">
      <c r="A41" s="1240" t="s">
        <v>2325</v>
      </c>
      <c r="B41" s="1259" t="s">
        <v>2326</v>
      </c>
      <c r="C41" s="1256" t="s">
        <v>758</v>
      </c>
      <c r="D41" s="1251"/>
      <c r="E41" s="1251"/>
      <c r="F41" s="1251"/>
      <c r="G41" s="1251"/>
      <c r="H41" s="1252"/>
      <c r="I41" s="1252"/>
      <c r="J41" s="1260" t="s">
        <v>2327</v>
      </c>
      <c r="K41" s="1239">
        <v>203760</v>
      </c>
    </row>
    <row r="42" spans="1:11" ht="15.95" customHeight="1">
      <c r="A42" s="1233" t="s">
        <v>1581</v>
      </c>
      <c r="B42" s="1234"/>
      <c r="C42" s="1234"/>
      <c r="D42" s="1234"/>
      <c r="E42" s="1234"/>
      <c r="F42" s="1234"/>
      <c r="G42" s="1234"/>
      <c r="H42" s="1234"/>
      <c r="I42" s="1234"/>
      <c r="J42" s="1234"/>
      <c r="K42" s="1234"/>
    </row>
    <row r="43" spans="1:11" ht="15.95" customHeight="1">
      <c r="A43" s="1240" t="s">
        <v>2328</v>
      </c>
      <c r="B43" s="1240" t="s">
        <v>2329</v>
      </c>
      <c r="C43" s="1240" t="s">
        <v>758</v>
      </c>
      <c r="D43" s="1238">
        <v>0.16</v>
      </c>
      <c r="E43" s="1251"/>
      <c r="F43" s="1251"/>
      <c r="G43" s="1251"/>
      <c r="H43" s="1252"/>
      <c r="I43" s="1252"/>
      <c r="J43" s="1253" t="s">
        <v>2330</v>
      </c>
      <c r="K43" s="1252">
        <f>30870735.5+2241166.74+30852253.83+2241166.74</f>
        <v>66205322.810000002</v>
      </c>
    </row>
    <row r="44" spans="1:11" ht="15.95" customHeight="1">
      <c r="A44" s="1240" t="s">
        <v>2331</v>
      </c>
      <c r="B44" s="1240" t="s">
        <v>2332</v>
      </c>
      <c r="C44" s="1240" t="s">
        <v>888</v>
      </c>
      <c r="D44" s="1237"/>
      <c r="E44" s="1242"/>
      <c r="F44" s="1242"/>
      <c r="G44" s="1242"/>
      <c r="H44" s="1244"/>
      <c r="I44" s="1244"/>
      <c r="J44" s="1248"/>
      <c r="K44" s="1239">
        <v>21454815.82</v>
      </c>
    </row>
    <row r="45" spans="1:11" ht="15.95" customHeight="1">
      <c r="A45" s="1240" t="s">
        <v>2333</v>
      </c>
      <c r="B45" s="1240" t="s">
        <v>2334</v>
      </c>
      <c r="C45" s="1240" t="s">
        <v>2282</v>
      </c>
      <c r="D45" s="1238">
        <v>0.12</v>
      </c>
      <c r="E45" s="1242"/>
      <c r="F45" s="1242"/>
      <c r="G45" s="1242"/>
      <c r="H45" s="1244"/>
      <c r="I45" s="1244"/>
      <c r="J45" s="1248" t="s">
        <v>2335</v>
      </c>
      <c r="K45" s="1239">
        <v>19901301.199999999</v>
      </c>
    </row>
    <row r="46" spans="1:11" ht="15.95" customHeight="1">
      <c r="A46" s="1240" t="s">
        <v>2336</v>
      </c>
      <c r="B46" s="1240" t="s">
        <v>2337</v>
      </c>
      <c r="C46" s="1240" t="s">
        <v>888</v>
      </c>
      <c r="D46" s="1237"/>
      <c r="E46" s="1242"/>
      <c r="F46" s="1242"/>
      <c r="G46" s="1242"/>
      <c r="H46" s="1244"/>
      <c r="I46" s="1244"/>
      <c r="J46" s="1248" t="s">
        <v>2338</v>
      </c>
      <c r="K46" s="1261">
        <v>8810643.6199999992</v>
      </c>
    </row>
    <row r="47" spans="1:11" ht="15.95" customHeight="1">
      <c r="A47" s="1240" t="s">
        <v>2339</v>
      </c>
      <c r="B47" s="1240" t="s">
        <v>2329</v>
      </c>
      <c r="C47" s="1240" t="s">
        <v>758</v>
      </c>
      <c r="D47" s="1237"/>
      <c r="E47" s="1262">
        <v>0.01</v>
      </c>
      <c r="F47" s="1262">
        <v>0.04</v>
      </c>
      <c r="G47" s="1247"/>
      <c r="H47" s="1244"/>
      <c r="I47" s="1244"/>
      <c r="J47" s="1248" t="s">
        <v>2340</v>
      </c>
      <c r="K47" s="1261">
        <f>938948.73+1540609.71+938945.72</f>
        <v>3418504.16</v>
      </c>
    </row>
    <row r="48" spans="1:11" ht="15.95" customHeight="1">
      <c r="A48" s="1240" t="s">
        <v>2341</v>
      </c>
      <c r="B48" s="1240" t="s">
        <v>2342</v>
      </c>
      <c r="C48" s="1240" t="s">
        <v>2282</v>
      </c>
      <c r="D48" s="1237"/>
      <c r="E48" s="1242"/>
      <c r="F48" s="1242"/>
      <c r="G48" s="1247">
        <v>1116.42</v>
      </c>
      <c r="H48" s="1244"/>
      <c r="I48" s="1244"/>
      <c r="J48" s="1248" t="s">
        <v>2343</v>
      </c>
      <c r="K48" s="1239">
        <v>1234573.8</v>
      </c>
    </row>
    <row r="49" spans="1:13" ht="15.95" customHeight="1">
      <c r="A49" s="1240" t="s">
        <v>2344</v>
      </c>
      <c r="B49" s="1240" t="s">
        <v>2172</v>
      </c>
      <c r="C49" s="1240" t="s">
        <v>888</v>
      </c>
      <c r="D49" s="1237"/>
      <c r="E49" s="1242"/>
      <c r="F49" s="1242"/>
      <c r="G49" s="1247"/>
      <c r="H49" s="1244"/>
      <c r="I49" s="1244"/>
      <c r="J49" s="1248"/>
      <c r="K49" s="1239">
        <f>815562.27+81508</f>
        <v>897070.27</v>
      </c>
    </row>
    <row r="50" spans="1:13" ht="15.95" customHeight="1">
      <c r="A50" s="1240" t="s">
        <v>2345</v>
      </c>
      <c r="B50" s="1240" t="s">
        <v>2172</v>
      </c>
      <c r="C50" s="1240" t="s">
        <v>888</v>
      </c>
      <c r="D50" s="1237"/>
      <c r="E50" s="1242"/>
      <c r="F50" s="1242"/>
      <c r="G50" s="1242"/>
      <c r="H50" s="1244"/>
      <c r="I50" s="1244"/>
      <c r="J50" s="1248" t="s">
        <v>2346</v>
      </c>
      <c r="K50" s="1239">
        <v>366391</v>
      </c>
    </row>
    <row r="51" spans="1:13" ht="15.95" customHeight="1">
      <c r="A51" s="1240" t="s">
        <v>2347</v>
      </c>
      <c r="B51" s="1240" t="s">
        <v>2172</v>
      </c>
      <c r="C51" s="1240" t="s">
        <v>888</v>
      </c>
      <c r="D51" s="1237"/>
      <c r="E51" s="1242"/>
      <c r="F51" s="1242"/>
      <c r="G51" s="1242"/>
      <c r="H51" s="1244"/>
      <c r="I51" s="1244"/>
      <c r="J51" s="1248"/>
      <c r="K51" s="1239">
        <v>138600</v>
      </c>
    </row>
    <row r="52" spans="1:13" ht="15.95" customHeight="1">
      <c r="A52" s="1240" t="s">
        <v>2348</v>
      </c>
      <c r="B52" s="1240" t="s">
        <v>497</v>
      </c>
      <c r="C52" s="1240" t="s">
        <v>888</v>
      </c>
      <c r="D52" s="1237"/>
      <c r="E52" s="1242"/>
      <c r="F52" s="1242"/>
      <c r="G52" s="1242"/>
      <c r="H52" s="1244"/>
      <c r="I52" s="1244"/>
      <c r="J52" s="1248" t="s">
        <v>2349</v>
      </c>
      <c r="K52" s="1239">
        <v>75239.17</v>
      </c>
    </row>
    <row r="53" spans="1:13" ht="15.95" customHeight="1">
      <c r="A53" s="1240" t="s">
        <v>2350</v>
      </c>
      <c r="B53" s="1240" t="s">
        <v>2172</v>
      </c>
      <c r="C53" s="1240" t="s">
        <v>888</v>
      </c>
      <c r="D53" s="1237"/>
      <c r="E53" s="1242"/>
      <c r="F53" s="1242"/>
      <c r="G53" s="1242"/>
      <c r="H53" s="1244"/>
      <c r="I53" s="1244"/>
      <c r="J53" s="1248"/>
      <c r="K53" s="1239">
        <v>25000</v>
      </c>
    </row>
    <row r="54" spans="1:13" ht="15.95" customHeight="1">
      <c r="A54" s="1240" t="s">
        <v>2351</v>
      </c>
      <c r="B54" s="1240" t="s">
        <v>2172</v>
      </c>
      <c r="C54" s="1240" t="s">
        <v>888</v>
      </c>
      <c r="D54" s="1237"/>
      <c r="E54" s="1242"/>
      <c r="F54" s="1242"/>
      <c r="G54" s="1242"/>
      <c r="H54" s="1244"/>
      <c r="I54" s="1244"/>
      <c r="J54" s="1248"/>
      <c r="K54" s="1239">
        <f>737.59+20260</f>
        <v>20997.59</v>
      </c>
    </row>
    <row r="55" spans="1:13" ht="15.95" customHeight="1">
      <c r="A55" s="1240" t="s">
        <v>2352</v>
      </c>
      <c r="B55" s="1240" t="s">
        <v>497</v>
      </c>
      <c r="C55" s="1240" t="s">
        <v>758</v>
      </c>
      <c r="D55" s="1237"/>
      <c r="E55" s="1242"/>
      <c r="F55" s="1242"/>
      <c r="G55" s="1242"/>
      <c r="H55" s="1244"/>
      <c r="I55" s="1244"/>
      <c r="J55" s="1248"/>
      <c r="K55" s="1239">
        <v>7442</v>
      </c>
    </row>
    <row r="56" spans="1:13" ht="15.95" customHeight="1">
      <c r="A56" s="1263" t="s">
        <v>2353</v>
      </c>
      <c r="B56" s="1264"/>
      <c r="C56" s="1264"/>
      <c r="D56" s="1264"/>
      <c r="E56" s="1264"/>
      <c r="F56" s="1264"/>
      <c r="G56" s="1264"/>
      <c r="H56" s="1264"/>
      <c r="I56" s="1264"/>
      <c r="J56" s="1264"/>
      <c r="K56" s="1265">
        <f>SUM(K17:K55)</f>
        <v>316241480.64000005</v>
      </c>
      <c r="M56" s="1266"/>
    </row>
    <row r="57" spans="1:13" s="1269" customFormat="1">
      <c r="A57" s="1267" t="s">
        <v>2354</v>
      </c>
      <c r="B57" s="1268"/>
      <c r="C57" s="1268"/>
      <c r="D57" s="1268"/>
      <c r="E57" s="1268"/>
      <c r="F57" s="1268"/>
      <c r="G57" s="1268"/>
      <c r="H57" s="1268"/>
      <c r="I57" s="1268"/>
      <c r="J57" s="1268"/>
      <c r="K57" s="1268"/>
      <c r="M57" s="1270"/>
    </row>
    <row r="58" spans="1:13" s="1269" customFormat="1">
      <c r="A58" s="1271" t="s">
        <v>2355</v>
      </c>
      <c r="B58" s="1268"/>
      <c r="C58" s="1268"/>
      <c r="D58" s="1268"/>
      <c r="E58" s="1268"/>
      <c r="F58" s="1268"/>
      <c r="G58" s="1268"/>
      <c r="H58" s="1268"/>
      <c r="I58" s="1268"/>
      <c r="J58" s="1268"/>
      <c r="K58" s="1268"/>
      <c r="M58" s="1270"/>
    </row>
    <row r="59" spans="1:13" s="1269" customFormat="1">
      <c r="A59" s="1235" t="s">
        <v>2356</v>
      </c>
      <c r="B59" s="1268"/>
      <c r="C59" s="1268"/>
      <c r="D59" s="1268"/>
      <c r="E59" s="1268"/>
      <c r="F59" s="1268"/>
      <c r="G59" s="1268"/>
      <c r="H59" s="1268"/>
      <c r="I59" s="1268"/>
      <c r="J59" s="1268"/>
      <c r="K59" s="1268"/>
      <c r="M59" s="1270"/>
    </row>
    <row r="60" spans="1:13" s="1269" customFormat="1">
      <c r="A60" s="1235" t="s">
        <v>2357</v>
      </c>
      <c r="M60" s="1270"/>
    </row>
    <row r="63" spans="1:13">
      <c r="M63" s="1266"/>
    </row>
    <row r="64" spans="1:13">
      <c r="M64" s="1272"/>
    </row>
    <row r="65" spans="4:15">
      <c r="M65" s="1266"/>
    </row>
    <row r="66" spans="4:15">
      <c r="M66" s="1266"/>
      <c r="N66" s="1273"/>
      <c r="O66" s="1273"/>
    </row>
    <row r="67" spans="4:15">
      <c r="D67" s="1266"/>
      <c r="E67" s="1266"/>
      <c r="M67" s="1266"/>
    </row>
    <row r="68" spans="4:15">
      <c r="E68" s="1273"/>
    </row>
    <row r="69" spans="4:15">
      <c r="E69" s="1266"/>
    </row>
  </sheetData>
  <sheetProtection selectLockedCells="1" selectUnlockedCells="1"/>
  <mergeCells count="10">
    <mergeCell ref="J14:J15"/>
    <mergeCell ref="K14:K15"/>
    <mergeCell ref="H13:I13"/>
    <mergeCell ref="A14:A15"/>
    <mergeCell ref="B14:B15"/>
    <mergeCell ref="C14:C15"/>
    <mergeCell ref="D14:D15"/>
    <mergeCell ref="E14:F14"/>
    <mergeCell ref="G14:G15"/>
    <mergeCell ref="H14:I14"/>
  </mergeCells>
  <pageMargins left="0.22013888888888888" right="0.15972222222222221" top="0.74791666666666667" bottom="0.74791666666666667" header="0.51180555555555551" footer="0.51180555555555551"/>
  <pageSetup paperSize="9" firstPageNumber="0" orientation="landscape" horizontalDpi="300" verticalDpi="300"/>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K77"/>
  <sheetViews>
    <sheetView workbookViewId="0">
      <pane ySplit="7" topLeftCell="A8" activePane="bottomLeft" state="frozen"/>
      <selection pane="bottomLeft"/>
    </sheetView>
  </sheetViews>
  <sheetFormatPr baseColWidth="10" defaultRowHeight="15"/>
  <cols>
    <col min="1" max="1" width="47.42578125" customWidth="1"/>
    <col min="2" max="2" width="13.42578125" customWidth="1"/>
    <col min="3" max="3" width="18.5703125" customWidth="1"/>
    <col min="5" max="5" width="12.85546875" customWidth="1"/>
    <col min="9" max="9" width="14.85546875" customWidth="1"/>
    <col min="10" max="10" width="20.42578125" customWidth="1"/>
    <col min="11" max="11" width="18.140625" customWidth="1"/>
  </cols>
  <sheetData>
    <row r="1" spans="1:11" s="177" customFormat="1"/>
    <row r="2" spans="1:11" s="177" customFormat="1">
      <c r="A2" s="247" t="s">
        <v>235</v>
      </c>
      <c r="B2" s="179"/>
      <c r="C2" s="179"/>
      <c r="D2" s="179"/>
      <c r="E2" s="179"/>
      <c r="F2" s="179"/>
      <c r="G2" s="179"/>
      <c r="H2" s="179"/>
      <c r="I2" s="179"/>
      <c r="J2" s="179"/>
      <c r="K2" s="180" t="s">
        <v>234</v>
      </c>
    </row>
    <row r="3" spans="1:11" s="177" customFormat="1" ht="15.75">
      <c r="A3" s="646" t="s">
        <v>2358</v>
      </c>
      <c r="B3" s="179"/>
      <c r="C3" s="179"/>
      <c r="D3" s="179"/>
      <c r="E3" s="179"/>
      <c r="F3" s="179"/>
      <c r="G3" s="179"/>
      <c r="H3" s="179"/>
      <c r="I3" s="179"/>
      <c r="J3" s="179"/>
      <c r="K3" s="179"/>
    </row>
    <row r="4" spans="1:11" s="177" customFormat="1">
      <c r="A4" s="247" t="s">
        <v>2359</v>
      </c>
      <c r="B4" s="179"/>
      <c r="C4" s="179"/>
      <c r="D4" s="179"/>
      <c r="E4" s="179"/>
      <c r="F4" s="179"/>
      <c r="G4" s="179"/>
      <c r="H4" s="179"/>
      <c r="I4" s="179"/>
      <c r="J4" s="179"/>
      <c r="K4" s="179"/>
    </row>
    <row r="5" spans="1:11" s="177" customFormat="1"/>
    <row r="6" spans="1:11" s="177" customFormat="1">
      <c r="A6" s="184" t="s">
        <v>228</v>
      </c>
      <c r="B6" s="184" t="s">
        <v>227</v>
      </c>
      <c r="C6" s="184" t="s">
        <v>226</v>
      </c>
      <c r="D6" s="184"/>
      <c r="E6" s="183" t="s">
        <v>225</v>
      </c>
      <c r="F6" s="183"/>
      <c r="G6" s="184" t="s">
        <v>224</v>
      </c>
      <c r="H6" s="184" t="s">
        <v>223</v>
      </c>
      <c r="I6" s="184"/>
      <c r="J6" s="184" t="s">
        <v>222</v>
      </c>
      <c r="K6" s="184" t="s">
        <v>221</v>
      </c>
    </row>
    <row r="7" spans="1:11" s="186" customFormat="1" ht="25.5">
      <c r="A7" s="242" t="s">
        <v>220</v>
      </c>
      <c r="B7" s="187" t="s">
        <v>219</v>
      </c>
      <c r="C7" s="187" t="s">
        <v>218</v>
      </c>
      <c r="D7" s="187" t="s">
        <v>217</v>
      </c>
      <c r="E7" s="1379" t="s">
        <v>216</v>
      </c>
      <c r="F7" s="1379"/>
      <c r="G7" s="187" t="s">
        <v>215</v>
      </c>
      <c r="H7" s="1379" t="s">
        <v>214</v>
      </c>
      <c r="I7" s="1379"/>
      <c r="J7" s="187" t="s">
        <v>240</v>
      </c>
      <c r="K7" s="185" t="s">
        <v>212</v>
      </c>
    </row>
    <row r="8" spans="1:11" s="186" customFormat="1">
      <c r="A8" s="242"/>
      <c r="B8" s="187"/>
      <c r="C8" s="187"/>
      <c r="D8" s="187"/>
      <c r="E8" s="187" t="s">
        <v>211</v>
      </c>
      <c r="F8" s="187" t="s">
        <v>210</v>
      </c>
      <c r="G8" s="187"/>
      <c r="H8" s="187" t="s">
        <v>211</v>
      </c>
      <c r="I8" s="187" t="s">
        <v>210</v>
      </c>
      <c r="J8" s="187"/>
      <c r="K8" s="185"/>
    </row>
    <row r="9" spans="1:11">
      <c r="A9" s="713" t="s">
        <v>1558</v>
      </c>
      <c r="B9" s="714"/>
      <c r="C9" s="714"/>
      <c r="D9" s="714"/>
      <c r="E9" s="714"/>
      <c r="F9" s="714"/>
      <c r="G9" s="714"/>
      <c r="H9" s="714"/>
      <c r="I9" s="714"/>
      <c r="J9" s="714"/>
      <c r="K9" s="714"/>
    </row>
    <row r="10" spans="1:11">
      <c r="A10" s="256"/>
      <c r="B10" s="193"/>
      <c r="C10" s="193"/>
      <c r="D10" s="193"/>
      <c r="E10" s="193"/>
      <c r="F10" s="193"/>
      <c r="G10" s="193"/>
      <c r="H10" s="193"/>
      <c r="I10" s="193"/>
      <c r="J10" s="193"/>
      <c r="K10" s="193"/>
    </row>
    <row r="11" spans="1:11">
      <c r="A11" s="256"/>
      <c r="B11" s="193"/>
      <c r="C11" s="193"/>
      <c r="D11" s="193"/>
      <c r="E11" s="193"/>
      <c r="F11" s="193"/>
      <c r="G11" s="193"/>
      <c r="H11" s="193"/>
      <c r="I11" s="193"/>
      <c r="J11" s="193"/>
      <c r="K11" s="193"/>
    </row>
    <row r="12" spans="1:11">
      <c r="A12" s="256"/>
      <c r="B12" s="193"/>
      <c r="C12" s="193"/>
      <c r="D12" s="193"/>
      <c r="E12" s="193"/>
      <c r="F12" s="193"/>
      <c r="G12" s="193"/>
      <c r="H12" s="193"/>
      <c r="I12" s="193"/>
      <c r="J12" s="193"/>
      <c r="K12" s="193"/>
    </row>
    <row r="13" spans="1:11">
      <c r="A13" s="256"/>
      <c r="B13" s="193"/>
      <c r="C13" s="193"/>
      <c r="D13" s="193"/>
      <c r="E13" s="193"/>
      <c r="F13" s="193"/>
      <c r="G13" s="193"/>
      <c r="H13" s="193"/>
      <c r="I13" s="193"/>
      <c r="J13" s="193"/>
      <c r="K13" s="193"/>
    </row>
    <row r="14" spans="1:11">
      <c r="A14" s="256"/>
      <c r="B14" s="193"/>
      <c r="C14" s="193"/>
      <c r="D14" s="193"/>
      <c r="E14" s="193"/>
      <c r="F14" s="193"/>
      <c r="G14" s="193"/>
      <c r="H14" s="193"/>
      <c r="I14" s="193"/>
      <c r="J14" s="193"/>
      <c r="K14" s="193"/>
    </row>
    <row r="15" spans="1:11">
      <c r="A15" s="713" t="s">
        <v>1559</v>
      </c>
      <c r="B15" s="714"/>
      <c r="C15" s="714"/>
      <c r="D15" s="714"/>
      <c r="E15" s="714"/>
      <c r="F15" s="714"/>
      <c r="G15" s="714"/>
      <c r="H15" s="714"/>
      <c r="I15" s="714"/>
      <c r="J15" s="714"/>
      <c r="K15" s="714"/>
    </row>
    <row r="16" spans="1:11">
      <c r="A16" s="256" t="s">
        <v>2360</v>
      </c>
      <c r="B16" s="193" t="s">
        <v>2361</v>
      </c>
      <c r="C16" s="193" t="s">
        <v>109</v>
      </c>
      <c r="D16" s="193">
        <v>1.2</v>
      </c>
      <c r="E16" s="193">
        <v>0.8</v>
      </c>
      <c r="F16" s="193">
        <v>6</v>
      </c>
      <c r="G16" s="193"/>
      <c r="H16" s="193">
        <v>1100</v>
      </c>
      <c r="I16" s="193">
        <v>999999</v>
      </c>
      <c r="J16" s="193" t="s">
        <v>2362</v>
      </c>
      <c r="K16" s="950">
        <v>12040576.34</v>
      </c>
    </row>
    <row r="17" spans="1:11">
      <c r="A17" s="256" t="s">
        <v>256</v>
      </c>
      <c r="B17" s="193" t="s">
        <v>987</v>
      </c>
      <c r="C17" s="193" t="s">
        <v>205</v>
      </c>
      <c r="D17" s="193"/>
      <c r="E17" s="193"/>
      <c r="F17" s="193"/>
      <c r="G17" s="193"/>
      <c r="H17" s="193">
        <v>500</v>
      </c>
      <c r="I17" s="193">
        <v>1000</v>
      </c>
      <c r="J17" s="193" t="s">
        <v>2362</v>
      </c>
      <c r="K17" s="950">
        <v>9789757.9600000009</v>
      </c>
    </row>
    <row r="18" spans="1:11">
      <c r="A18" s="256" t="s">
        <v>2363</v>
      </c>
      <c r="B18" s="193" t="s">
        <v>2364</v>
      </c>
      <c r="C18" s="193" t="s">
        <v>109</v>
      </c>
      <c r="D18" s="193"/>
      <c r="E18" s="193"/>
      <c r="F18" s="193"/>
      <c r="G18" s="193"/>
      <c r="H18" s="193">
        <v>600</v>
      </c>
      <c r="I18" s="193">
        <v>20000</v>
      </c>
      <c r="J18" s="193" t="s">
        <v>2362</v>
      </c>
      <c r="K18" s="950">
        <v>8770311.7300000004</v>
      </c>
    </row>
    <row r="19" spans="1:11">
      <c r="A19" s="256" t="s">
        <v>2365</v>
      </c>
      <c r="B19" s="193" t="s">
        <v>2366</v>
      </c>
      <c r="C19" s="193" t="s">
        <v>109</v>
      </c>
      <c r="D19" s="193">
        <v>16</v>
      </c>
      <c r="E19" s="193"/>
      <c r="F19" s="193"/>
      <c r="G19" s="193"/>
      <c r="H19" s="193"/>
      <c r="I19" s="193"/>
      <c r="J19" s="193" t="s">
        <v>2362</v>
      </c>
      <c r="K19" s="950">
        <v>4220322.8</v>
      </c>
    </row>
    <row r="20" spans="1:11">
      <c r="A20" s="256"/>
      <c r="B20" s="193"/>
      <c r="C20" s="193"/>
      <c r="D20" s="193"/>
      <c r="E20" s="193"/>
      <c r="F20" s="193"/>
      <c r="G20" s="193"/>
      <c r="H20" s="193"/>
      <c r="I20" s="193"/>
      <c r="J20" s="193"/>
      <c r="K20" s="193"/>
    </row>
    <row r="21" spans="1:11">
      <c r="A21" s="256"/>
      <c r="B21" s="193"/>
      <c r="C21" s="193"/>
      <c r="D21" s="193"/>
      <c r="E21" s="193"/>
      <c r="F21" s="193"/>
      <c r="G21" s="193"/>
      <c r="H21" s="193"/>
      <c r="I21" s="193"/>
      <c r="J21" s="193"/>
      <c r="K21" s="193"/>
    </row>
    <row r="22" spans="1:11">
      <c r="A22" s="256"/>
      <c r="B22" s="193"/>
      <c r="C22" s="193"/>
      <c r="D22" s="193"/>
      <c r="E22" s="193"/>
      <c r="F22" s="193"/>
      <c r="G22" s="193"/>
      <c r="H22" s="193"/>
      <c r="I22" s="193"/>
      <c r="J22" s="193"/>
      <c r="K22" s="193"/>
    </row>
    <row r="23" spans="1:11">
      <c r="A23" s="256"/>
      <c r="B23" s="193"/>
      <c r="C23" s="193"/>
      <c r="D23" s="193"/>
      <c r="E23" s="193"/>
      <c r="F23" s="193"/>
      <c r="G23" s="193"/>
      <c r="H23" s="193"/>
      <c r="I23" s="193"/>
      <c r="J23" s="193"/>
      <c r="K23" s="193"/>
    </row>
    <row r="24" spans="1:11">
      <c r="A24" s="256"/>
      <c r="B24" s="193"/>
      <c r="C24" s="193"/>
      <c r="D24" s="193"/>
      <c r="E24" s="193"/>
      <c r="F24" s="193"/>
      <c r="G24" s="193"/>
      <c r="H24" s="193"/>
      <c r="I24" s="193"/>
      <c r="J24" s="193"/>
      <c r="K24" s="193"/>
    </row>
    <row r="25" spans="1:11">
      <c r="A25" s="256"/>
      <c r="B25" s="193"/>
      <c r="C25" s="193"/>
      <c r="D25" s="193"/>
      <c r="E25" s="193"/>
      <c r="F25" s="193"/>
      <c r="G25" s="193"/>
      <c r="H25" s="193"/>
      <c r="I25" s="193"/>
      <c r="J25" s="193"/>
      <c r="K25" s="193"/>
    </row>
    <row r="26" spans="1:11" s="177" customFormat="1">
      <c r="A26" s="730" t="s">
        <v>1567</v>
      </c>
      <c r="B26" s="731"/>
      <c r="C26" s="731"/>
      <c r="D26" s="731"/>
      <c r="E26" s="731"/>
      <c r="F26" s="731"/>
      <c r="G26" s="731"/>
      <c r="H26" s="731"/>
      <c r="I26" s="731"/>
      <c r="J26" s="731"/>
      <c r="K26" s="731"/>
    </row>
    <row r="27" spans="1:11" s="732" customFormat="1">
      <c r="A27" s="1274" t="s">
        <v>2367</v>
      </c>
      <c r="B27" s="217" t="s">
        <v>2368</v>
      </c>
      <c r="C27" s="217" t="s">
        <v>109</v>
      </c>
      <c r="D27" s="217"/>
      <c r="E27" s="217"/>
      <c r="F27" s="217"/>
      <c r="G27" s="217"/>
      <c r="H27" s="217" t="s">
        <v>2369</v>
      </c>
      <c r="I27" s="217" t="s">
        <v>2369</v>
      </c>
      <c r="J27" s="193" t="s">
        <v>2362</v>
      </c>
      <c r="K27" s="953">
        <v>829746.9</v>
      </c>
    </row>
    <row r="28" spans="1:11" s="732" customFormat="1">
      <c r="A28" s="274"/>
      <c r="B28" s="217"/>
      <c r="C28" s="217"/>
      <c r="D28" s="217"/>
      <c r="E28" s="217"/>
      <c r="F28" s="217"/>
      <c r="G28" s="217"/>
      <c r="H28" s="217"/>
      <c r="I28" s="217"/>
      <c r="J28" s="217"/>
      <c r="K28" s="217"/>
    </row>
    <row r="29" spans="1:11" s="732" customFormat="1">
      <c r="A29" s="274"/>
      <c r="B29" s="217"/>
      <c r="C29" s="217"/>
      <c r="D29" s="217"/>
      <c r="E29" s="217"/>
      <c r="F29" s="217"/>
      <c r="G29" s="217"/>
      <c r="H29" s="217"/>
      <c r="I29" s="217"/>
      <c r="J29" s="217"/>
      <c r="K29" s="217"/>
    </row>
    <row r="30" spans="1:11" s="177" customFormat="1">
      <c r="A30" s="256"/>
      <c r="B30" s="217"/>
      <c r="C30" s="217"/>
      <c r="D30" s="217"/>
      <c r="E30" s="217"/>
      <c r="F30" s="217"/>
      <c r="G30" s="217"/>
      <c r="H30" s="217"/>
      <c r="I30" s="217"/>
      <c r="J30" s="217"/>
      <c r="K30" s="217"/>
    </row>
    <row r="31" spans="1:11" s="177" customFormat="1">
      <c r="A31" s="256"/>
      <c r="B31" s="217"/>
      <c r="C31" s="217"/>
      <c r="D31" s="217"/>
      <c r="E31" s="217"/>
      <c r="F31" s="217"/>
      <c r="G31" s="217"/>
      <c r="H31" s="217"/>
      <c r="I31" s="217"/>
      <c r="J31" s="217"/>
      <c r="K31" s="217"/>
    </row>
    <row r="32" spans="1:11">
      <c r="A32" s="713" t="s">
        <v>1568</v>
      </c>
      <c r="B32" s="714"/>
      <c r="C32" s="714"/>
      <c r="D32" s="714"/>
      <c r="E32" s="714"/>
      <c r="F32" s="714"/>
      <c r="G32" s="714"/>
      <c r="H32" s="714"/>
      <c r="I32" s="714"/>
      <c r="J32" s="714"/>
      <c r="K32" s="714"/>
    </row>
    <row r="33" spans="1:11">
      <c r="A33" s="256" t="s">
        <v>290</v>
      </c>
      <c r="B33" s="217"/>
      <c r="C33" s="193" t="s">
        <v>720</v>
      </c>
      <c r="D33" s="193"/>
      <c r="E33" s="193"/>
      <c r="F33" s="193"/>
      <c r="G33" s="193"/>
      <c r="H33" s="193">
        <v>1200</v>
      </c>
      <c r="I33" s="193">
        <v>3000</v>
      </c>
      <c r="J33" s="193" t="s">
        <v>2362</v>
      </c>
      <c r="K33" s="950">
        <v>2738200</v>
      </c>
    </row>
    <row r="34" spans="1:11">
      <c r="A34" s="936" t="s">
        <v>2370</v>
      </c>
      <c r="B34" s="217"/>
      <c r="C34" s="193" t="s">
        <v>720</v>
      </c>
      <c r="D34" s="193"/>
      <c r="E34" s="193"/>
      <c r="F34" s="193"/>
      <c r="G34" s="193">
        <v>42000</v>
      </c>
      <c r="H34" s="193"/>
      <c r="I34" s="193"/>
      <c r="J34" s="193" t="s">
        <v>2362</v>
      </c>
      <c r="K34" s="950">
        <v>613800</v>
      </c>
    </row>
    <row r="35" spans="1:11">
      <c r="A35" s="936" t="s">
        <v>262</v>
      </c>
      <c r="B35" s="217"/>
      <c r="C35" s="193" t="s">
        <v>283</v>
      </c>
      <c r="D35" s="193"/>
      <c r="E35" s="193"/>
      <c r="F35" s="193"/>
      <c r="G35" s="193"/>
      <c r="H35" s="193">
        <v>1100</v>
      </c>
      <c r="I35" s="193">
        <v>3000</v>
      </c>
      <c r="J35" s="193" t="s">
        <v>2362</v>
      </c>
      <c r="K35" s="950">
        <v>866550.01</v>
      </c>
    </row>
    <row r="36" spans="1:11">
      <c r="A36" s="936" t="s">
        <v>1512</v>
      </c>
      <c r="B36" s="217"/>
      <c r="C36" s="193" t="s">
        <v>720</v>
      </c>
      <c r="D36" s="193"/>
      <c r="E36" s="193"/>
      <c r="F36" s="193"/>
      <c r="G36" s="193"/>
      <c r="H36" s="193">
        <v>700</v>
      </c>
      <c r="I36" s="193">
        <v>1600</v>
      </c>
      <c r="J36" s="193" t="s">
        <v>2362</v>
      </c>
      <c r="K36" s="950">
        <v>928860</v>
      </c>
    </row>
    <row r="37" spans="1:11">
      <c r="A37" s="936" t="s">
        <v>2371</v>
      </c>
      <c r="B37" s="217"/>
      <c r="C37" s="193" t="s">
        <v>720</v>
      </c>
      <c r="D37" s="193"/>
      <c r="E37" s="193"/>
      <c r="F37" s="193"/>
      <c r="G37" s="193"/>
      <c r="H37" s="193">
        <v>300</v>
      </c>
      <c r="I37" s="193">
        <v>2000</v>
      </c>
      <c r="J37" s="193" t="s">
        <v>2362</v>
      </c>
      <c r="K37" s="950">
        <v>411450</v>
      </c>
    </row>
    <row r="38" spans="1:11">
      <c r="A38" s="936" t="s">
        <v>2372</v>
      </c>
      <c r="B38" s="217"/>
      <c r="C38" s="193" t="s">
        <v>720</v>
      </c>
      <c r="D38" s="193"/>
      <c r="E38" s="193"/>
      <c r="F38" s="193"/>
      <c r="G38" s="193"/>
      <c r="H38" s="193" t="s">
        <v>2373</v>
      </c>
      <c r="I38" s="193" t="s">
        <v>2374</v>
      </c>
      <c r="J38" s="193" t="s">
        <v>2362</v>
      </c>
      <c r="K38" s="950">
        <v>357217.47</v>
      </c>
    </row>
    <row r="39" spans="1:11">
      <c r="A39" s="936" t="s">
        <v>2375</v>
      </c>
      <c r="B39" s="217"/>
      <c r="C39" s="193" t="s">
        <v>720</v>
      </c>
      <c r="D39" s="193"/>
      <c r="E39" s="193"/>
      <c r="F39" s="193"/>
      <c r="G39" s="193">
        <v>700</v>
      </c>
      <c r="H39" s="193"/>
      <c r="I39" s="193"/>
      <c r="J39" s="193" t="s">
        <v>2362</v>
      </c>
      <c r="K39" s="950">
        <v>48600</v>
      </c>
    </row>
    <row r="40" spans="1:11">
      <c r="A40" s="936" t="s">
        <v>298</v>
      </c>
      <c r="B40" s="217"/>
      <c r="C40" s="193" t="s">
        <v>720</v>
      </c>
      <c r="D40" s="193"/>
      <c r="E40" s="193"/>
      <c r="F40" s="193"/>
      <c r="G40" s="193"/>
      <c r="H40" s="193">
        <v>100</v>
      </c>
      <c r="I40" s="193">
        <v>10000</v>
      </c>
      <c r="J40" s="193" t="s">
        <v>2362</v>
      </c>
      <c r="K40" s="950">
        <v>385454.2</v>
      </c>
    </row>
    <row r="41" spans="1:11">
      <c r="A41" s="936"/>
      <c r="B41" s="217"/>
      <c r="C41" s="193"/>
      <c r="D41" s="193"/>
      <c r="E41" s="193"/>
      <c r="F41" s="193"/>
      <c r="G41" s="193"/>
      <c r="H41" s="193"/>
      <c r="I41" s="193"/>
      <c r="J41" s="193"/>
      <c r="K41" s="950"/>
    </row>
    <row r="42" spans="1:11">
      <c r="A42" s="294"/>
      <c r="B42" s="294"/>
      <c r="C42" s="294"/>
      <c r="D42" s="294"/>
      <c r="E42" s="294"/>
      <c r="F42" s="294"/>
      <c r="G42" s="294"/>
      <c r="H42" s="294"/>
      <c r="I42" s="294"/>
      <c r="J42" s="294"/>
      <c r="K42" s="294"/>
    </row>
    <row r="43" spans="1:11">
      <c r="A43" s="256"/>
      <c r="B43" s="193"/>
      <c r="C43" s="193"/>
      <c r="D43" s="193"/>
      <c r="E43" s="193"/>
      <c r="F43" s="193"/>
      <c r="G43" s="193"/>
      <c r="H43" s="193"/>
      <c r="I43" s="193"/>
      <c r="J43" s="193"/>
      <c r="K43" s="950"/>
    </row>
    <row r="44" spans="1:11">
      <c r="A44" s="713" t="s">
        <v>1574</v>
      </c>
      <c r="B44" s="714"/>
      <c r="C44" s="714"/>
      <c r="D44" s="714"/>
      <c r="E44" s="714"/>
      <c r="F44" s="714"/>
      <c r="G44" s="714"/>
      <c r="H44" s="714"/>
      <c r="I44" s="714"/>
      <c r="J44" s="714"/>
      <c r="K44" s="714"/>
    </row>
    <row r="45" spans="1:11" s="399" customFormat="1">
      <c r="A45" s="936" t="s">
        <v>2376</v>
      </c>
      <c r="B45" s="193">
        <v>0</v>
      </c>
      <c r="C45" s="193" t="s">
        <v>720</v>
      </c>
      <c r="D45" s="193"/>
      <c r="E45" s="193"/>
      <c r="F45" s="193"/>
      <c r="G45" s="193"/>
      <c r="H45" s="193" t="s">
        <v>2377</v>
      </c>
      <c r="I45" s="193" t="s">
        <v>2378</v>
      </c>
      <c r="J45" s="193" t="s">
        <v>2362</v>
      </c>
      <c r="K45" s="950">
        <v>0</v>
      </c>
    </row>
    <row r="46" spans="1:11" s="399" customFormat="1">
      <c r="A46" s="256"/>
      <c r="B46" s="193"/>
      <c r="C46" s="193"/>
      <c r="D46" s="193"/>
      <c r="E46" s="193"/>
      <c r="F46" s="193"/>
      <c r="G46" s="193"/>
      <c r="H46" s="193"/>
      <c r="I46" s="193"/>
      <c r="J46" s="193"/>
      <c r="K46" s="193"/>
    </row>
    <row r="47" spans="1:11">
      <c r="A47" s="256"/>
      <c r="B47" s="193"/>
      <c r="C47" s="193"/>
      <c r="D47" s="193"/>
      <c r="E47" s="193"/>
      <c r="F47" s="193"/>
      <c r="G47" s="193"/>
      <c r="H47" s="193"/>
      <c r="I47" s="193"/>
      <c r="J47" s="193"/>
      <c r="K47" s="193"/>
    </row>
    <row r="48" spans="1:11">
      <c r="A48" s="256"/>
      <c r="B48" s="193"/>
      <c r="C48" s="193"/>
      <c r="D48" s="193"/>
      <c r="E48" s="193"/>
      <c r="F48" s="193"/>
      <c r="G48" s="193"/>
      <c r="H48" s="193"/>
      <c r="I48" s="193"/>
      <c r="J48" s="193"/>
      <c r="K48" s="193"/>
    </row>
    <row r="49" spans="1:11">
      <c r="A49" s="256"/>
      <c r="B49" s="193"/>
      <c r="C49" s="193"/>
      <c r="D49" s="193"/>
      <c r="E49" s="193"/>
      <c r="F49" s="193"/>
      <c r="G49" s="193"/>
      <c r="H49" s="193"/>
      <c r="I49" s="193"/>
      <c r="J49" s="193"/>
      <c r="K49" s="193"/>
    </row>
    <row r="50" spans="1:11">
      <c r="A50" s="713" t="s">
        <v>1579</v>
      </c>
      <c r="B50" s="193"/>
      <c r="C50" s="193"/>
      <c r="D50" s="193"/>
      <c r="E50" s="193"/>
      <c r="F50" s="193"/>
      <c r="G50" s="193"/>
      <c r="H50" s="193"/>
      <c r="I50" s="193"/>
      <c r="J50" s="714"/>
      <c r="K50" s="714"/>
    </row>
    <row r="51" spans="1:11">
      <c r="A51" s="256" t="s">
        <v>2379</v>
      </c>
      <c r="B51" s="193"/>
      <c r="C51" s="193"/>
      <c r="D51" s="193"/>
      <c r="E51" s="193"/>
      <c r="F51" s="193"/>
      <c r="G51" s="193"/>
      <c r="H51" s="733">
        <v>0.03</v>
      </c>
      <c r="I51" s="193"/>
      <c r="J51" s="193" t="s">
        <v>2362</v>
      </c>
      <c r="K51" s="950">
        <v>1315102.1399999999</v>
      </c>
    </row>
    <row r="52" spans="1:11" s="399" customFormat="1">
      <c r="A52" s="256" t="s">
        <v>2380</v>
      </c>
      <c r="B52" s="193" t="s">
        <v>2381</v>
      </c>
      <c r="C52" s="193" t="s">
        <v>720</v>
      </c>
      <c r="D52" s="193"/>
      <c r="E52" s="193"/>
      <c r="F52" s="193"/>
      <c r="G52" s="193"/>
      <c r="H52" s="193">
        <v>25</v>
      </c>
      <c r="I52" s="193">
        <v>500</v>
      </c>
      <c r="J52" s="193" t="s">
        <v>2362</v>
      </c>
      <c r="K52" s="950">
        <v>115632.92</v>
      </c>
    </row>
    <row r="53" spans="1:11" s="399" customFormat="1">
      <c r="A53" s="256" t="s">
        <v>2382</v>
      </c>
      <c r="B53" s="193"/>
      <c r="C53" s="193"/>
      <c r="D53" s="193"/>
      <c r="E53" s="193"/>
      <c r="F53" s="193"/>
      <c r="G53" s="193"/>
      <c r="H53" s="193" t="s">
        <v>2383</v>
      </c>
      <c r="I53" s="193" t="s">
        <v>2384</v>
      </c>
      <c r="J53" s="193" t="s">
        <v>2362</v>
      </c>
      <c r="K53" s="950">
        <v>1550.01</v>
      </c>
    </row>
    <row r="54" spans="1:11">
      <c r="A54" s="294"/>
      <c r="B54" s="935"/>
      <c r="C54" s="935"/>
      <c r="D54" s="935"/>
      <c r="E54" s="935"/>
      <c r="F54" s="935"/>
      <c r="G54" s="935"/>
      <c r="H54" s="935"/>
      <c r="I54" s="935"/>
      <c r="J54" s="294"/>
      <c r="K54" s="294"/>
    </row>
    <row r="55" spans="1:11">
      <c r="A55" s="256"/>
      <c r="B55" s="193"/>
      <c r="C55" s="193"/>
      <c r="D55" s="193"/>
      <c r="E55" s="193"/>
      <c r="F55" s="193"/>
      <c r="G55" s="193"/>
      <c r="H55" s="193"/>
      <c r="I55" s="193"/>
      <c r="J55" s="193"/>
      <c r="K55" s="193"/>
    </row>
    <row r="56" spans="1:11" s="177" customFormat="1">
      <c r="A56" s="730" t="s">
        <v>1580</v>
      </c>
      <c r="B56" s="731"/>
      <c r="C56" s="731"/>
      <c r="D56" s="731"/>
      <c r="E56" s="731"/>
      <c r="F56" s="731"/>
      <c r="G56" s="731"/>
      <c r="H56" s="731"/>
      <c r="I56" s="731"/>
      <c r="J56" s="731"/>
      <c r="K56" s="731"/>
    </row>
    <row r="57" spans="1:11" s="732" customFormat="1">
      <c r="A57" s="274"/>
      <c r="B57" s="217"/>
      <c r="C57" s="217" t="s">
        <v>109</v>
      </c>
      <c r="D57" s="217"/>
      <c r="E57" s="217"/>
      <c r="F57" s="217"/>
      <c r="G57" s="217"/>
      <c r="H57" s="217"/>
      <c r="I57" s="217"/>
      <c r="J57" s="193"/>
      <c r="K57" s="953"/>
    </row>
    <row r="58" spans="1:11" s="732" customFormat="1">
      <c r="A58" s="274" t="s">
        <v>2385</v>
      </c>
      <c r="B58" s="217"/>
      <c r="C58" s="217" t="s">
        <v>109</v>
      </c>
      <c r="D58" s="217"/>
      <c r="E58" s="217"/>
      <c r="F58" s="217"/>
      <c r="G58" s="217"/>
      <c r="H58" s="217"/>
      <c r="I58" s="217"/>
      <c r="J58" s="193" t="s">
        <v>2362</v>
      </c>
      <c r="K58" s="953">
        <v>46913.38</v>
      </c>
    </row>
    <row r="59" spans="1:11" s="732" customFormat="1">
      <c r="A59" s="274"/>
      <c r="B59" s="217"/>
      <c r="C59" s="217"/>
      <c r="D59" s="217"/>
      <c r="E59" s="217"/>
      <c r="F59" s="217"/>
      <c r="G59" s="217"/>
      <c r="H59" s="217"/>
      <c r="I59" s="217"/>
      <c r="J59" s="217"/>
      <c r="K59" s="217"/>
    </row>
    <row r="60" spans="1:11" s="177" customFormat="1">
      <c r="A60" s="274"/>
      <c r="B60" s="217"/>
      <c r="C60" s="217"/>
      <c r="D60" s="217"/>
      <c r="E60" s="217"/>
      <c r="F60" s="217"/>
      <c r="G60" s="217"/>
      <c r="H60" s="217"/>
      <c r="I60" s="217"/>
      <c r="J60" s="217"/>
      <c r="K60" s="217"/>
    </row>
    <row r="61" spans="1:11">
      <c r="A61" s="713" t="s">
        <v>1581</v>
      </c>
      <c r="B61" s="714"/>
      <c r="C61" s="714"/>
      <c r="D61" s="714"/>
      <c r="E61" s="714"/>
      <c r="F61" s="714"/>
      <c r="G61" s="714"/>
      <c r="H61" s="714"/>
      <c r="I61" s="714"/>
      <c r="J61" s="714"/>
      <c r="K61" s="714"/>
    </row>
    <row r="62" spans="1:11" s="177" customFormat="1">
      <c r="A62" s="274"/>
      <c r="B62" s="1275"/>
      <c r="C62" s="1275"/>
      <c r="D62" s="1275"/>
      <c r="E62" s="1275"/>
      <c r="F62" s="1275"/>
      <c r="G62" s="1275"/>
      <c r="H62" s="1275"/>
      <c r="I62" s="1275"/>
      <c r="J62" s="193"/>
      <c r="K62" s="953"/>
    </row>
    <row r="63" spans="1:11" s="177" customFormat="1">
      <c r="A63" s="274"/>
      <c r="B63" s="1275"/>
      <c r="C63" s="1275"/>
      <c r="D63" s="1275"/>
      <c r="E63" s="1275"/>
      <c r="F63" s="1275"/>
      <c r="G63" s="1275"/>
      <c r="H63" s="1275"/>
      <c r="I63" s="1275"/>
      <c r="J63" s="193"/>
      <c r="K63" s="953"/>
    </row>
    <row r="64" spans="1:11" s="732" customFormat="1">
      <c r="A64" s="274" t="s">
        <v>2386</v>
      </c>
      <c r="B64" s="1275"/>
      <c r="C64" s="1275"/>
      <c r="D64" s="1275"/>
      <c r="E64" s="1275"/>
      <c r="F64" s="1275"/>
      <c r="G64" s="1275"/>
      <c r="H64" s="1275"/>
      <c r="I64" s="1275"/>
      <c r="J64" s="193" t="s">
        <v>2362</v>
      </c>
      <c r="K64" s="953">
        <f>55386.67+97872.84</f>
        <v>153259.51</v>
      </c>
    </row>
    <row r="65" spans="1:11" s="177" customFormat="1">
      <c r="A65" s="274" t="s">
        <v>2387</v>
      </c>
      <c r="B65" s="1275"/>
      <c r="C65" s="1275"/>
      <c r="D65" s="1275"/>
      <c r="E65" s="1275"/>
      <c r="F65" s="1275"/>
      <c r="G65" s="1275"/>
      <c r="H65" s="1275"/>
      <c r="I65" s="1275"/>
      <c r="J65" s="193"/>
      <c r="K65" s="953">
        <v>88782</v>
      </c>
    </row>
    <row r="66" spans="1:11" s="177" customFormat="1">
      <c r="A66" s="274" t="s">
        <v>2388</v>
      </c>
      <c r="B66" s="1275"/>
      <c r="C66" s="1275"/>
      <c r="D66" s="1275"/>
      <c r="E66" s="1275"/>
      <c r="F66" s="1275"/>
      <c r="G66" s="1275"/>
      <c r="H66" s="1275"/>
      <c r="I66" s="1275"/>
      <c r="J66" s="193" t="s">
        <v>2362</v>
      </c>
      <c r="K66" s="953">
        <v>4548322.0999999996</v>
      </c>
    </row>
    <row r="67" spans="1:11" s="732" customFormat="1">
      <c r="A67" s="274" t="s">
        <v>2389</v>
      </c>
      <c r="B67" s="217"/>
      <c r="C67" s="217" t="s">
        <v>109</v>
      </c>
      <c r="D67" s="217"/>
      <c r="E67" s="217"/>
      <c r="F67" s="217"/>
      <c r="G67" s="217"/>
      <c r="H67" s="217"/>
      <c r="I67" s="217"/>
      <c r="J67" s="193" t="s">
        <v>2362</v>
      </c>
      <c r="K67" s="953">
        <v>0</v>
      </c>
    </row>
    <row r="68" spans="1:11" s="732" customFormat="1">
      <c r="A68" s="274" t="s">
        <v>2390</v>
      </c>
      <c r="B68" s="217"/>
      <c r="C68" s="217"/>
      <c r="D68" s="217"/>
      <c r="E68" s="217"/>
      <c r="F68" s="217"/>
      <c r="G68" s="217"/>
      <c r="H68" s="217"/>
      <c r="I68" s="217"/>
      <c r="J68" s="193" t="s">
        <v>2362</v>
      </c>
      <c r="K68" s="953">
        <v>0</v>
      </c>
    </row>
    <row r="69" spans="1:11">
      <c r="A69" s="241"/>
      <c r="B69" s="242"/>
      <c r="C69" s="242"/>
      <c r="D69" s="242"/>
      <c r="E69" s="242"/>
      <c r="F69" s="242"/>
      <c r="G69" s="242"/>
      <c r="H69" s="242"/>
      <c r="I69" s="242"/>
      <c r="J69" s="242"/>
      <c r="K69" s="242"/>
    </row>
    <row r="70" spans="1:11">
      <c r="A70" s="245"/>
      <c r="B70" s="246"/>
      <c r="C70" s="246"/>
      <c r="D70" s="246"/>
      <c r="E70" s="246"/>
      <c r="F70" s="246"/>
      <c r="G70" s="246"/>
      <c r="H70" s="246"/>
      <c r="I70" s="246"/>
      <c r="J70" s="246"/>
      <c r="K70" s="246"/>
    </row>
    <row r="71" spans="1:11">
      <c r="A71" s="1276"/>
    </row>
    <row r="72" spans="1:11" ht="16.5">
      <c r="A72" s="2"/>
    </row>
    <row r="73" spans="1:11" ht="16.5">
      <c r="A73" s="2"/>
    </row>
    <row r="74" spans="1:11" ht="16.5">
      <c r="A74" s="2"/>
    </row>
    <row r="75" spans="1:11" ht="16.5">
      <c r="A75" s="2"/>
    </row>
    <row r="76" spans="1:11" ht="16.5">
      <c r="A76" s="1277"/>
    </row>
    <row r="77" spans="1:11" ht="16.5">
      <c r="A77" s="2"/>
    </row>
  </sheetData>
  <mergeCells count="2">
    <mergeCell ref="E7:F7"/>
    <mergeCell ref="H7:I7"/>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pageSetUpPr fitToPage="1"/>
  </sheetPr>
  <dimension ref="A1:K50"/>
  <sheetViews>
    <sheetView showGridLines="0" zoomScaleNormal="100" workbookViewId="0"/>
  </sheetViews>
  <sheetFormatPr baseColWidth="10" defaultRowHeight="15"/>
  <cols>
    <col min="1" max="1" width="54.140625" customWidth="1"/>
    <col min="2" max="2" width="55.42578125" customWidth="1"/>
    <col min="3" max="3" width="29" bestFit="1" customWidth="1"/>
    <col min="4" max="6" width="17.7109375" customWidth="1"/>
    <col min="7" max="7" width="36.85546875" bestFit="1" customWidth="1"/>
    <col min="8" max="8" width="25.28515625" style="1321" bestFit="1" customWidth="1"/>
    <col min="9" max="9" width="17.7109375" style="1321" customWidth="1"/>
    <col min="10" max="10" width="43" bestFit="1" customWidth="1"/>
    <col min="11" max="11" width="21.28515625" bestFit="1" customWidth="1"/>
  </cols>
  <sheetData>
    <row r="1" spans="1:11" s="177" customFormat="1" ht="21" customHeight="1">
      <c r="A1" s="175" t="s">
        <v>235</v>
      </c>
      <c r="B1" s="176"/>
      <c r="H1" s="1278"/>
      <c r="I1" s="1278"/>
    </row>
    <row r="2" spans="1:11" s="177" customFormat="1" ht="19.5" customHeight="1">
      <c r="A2" s="178" t="s">
        <v>2391</v>
      </c>
      <c r="B2" s="179"/>
      <c r="C2" s="179"/>
      <c r="D2" s="179"/>
      <c r="E2" s="179"/>
      <c r="F2" s="179"/>
      <c r="G2" s="179"/>
      <c r="H2" s="1048"/>
      <c r="I2" s="1048"/>
      <c r="J2" s="179"/>
      <c r="K2" s="180" t="s">
        <v>234</v>
      </c>
    </row>
    <row r="3" spans="1:11" s="177" customFormat="1" ht="22.5" customHeight="1">
      <c r="A3" s="181" t="s">
        <v>238</v>
      </c>
      <c r="B3" s="179"/>
      <c r="C3" s="179"/>
      <c r="D3" s="179"/>
      <c r="E3" s="179"/>
      <c r="F3" s="179"/>
      <c r="G3" s="179"/>
      <c r="H3" s="1048"/>
      <c r="I3" s="1048"/>
      <c r="J3" s="179"/>
      <c r="K3" s="179"/>
    </row>
    <row r="4" spans="1:11" s="177" customFormat="1" ht="25.5" customHeight="1">
      <c r="A4" s="175" t="s">
        <v>232</v>
      </c>
      <c r="B4" s="176"/>
      <c r="C4" s="179"/>
      <c r="D4" s="179"/>
      <c r="E4" s="179"/>
      <c r="F4" s="179"/>
      <c r="G4" s="179"/>
      <c r="H4" s="1048"/>
      <c r="I4" s="1048"/>
      <c r="J4" s="179"/>
      <c r="K4" s="179"/>
    </row>
    <row r="5" spans="1:11" s="177" customFormat="1">
      <c r="A5" s="184" t="s">
        <v>228</v>
      </c>
      <c r="B5" s="184" t="s">
        <v>227</v>
      </c>
      <c r="C5" s="184" t="s">
        <v>226</v>
      </c>
      <c r="D5" s="184"/>
      <c r="E5" s="183" t="s">
        <v>225</v>
      </c>
      <c r="F5" s="183"/>
      <c r="G5" s="184" t="s">
        <v>224</v>
      </c>
      <c r="H5" s="184" t="s">
        <v>223</v>
      </c>
      <c r="I5" s="184"/>
      <c r="J5" s="184" t="s">
        <v>222</v>
      </c>
      <c r="K5" s="184" t="s">
        <v>221</v>
      </c>
    </row>
    <row r="6" spans="1:11" s="186" customFormat="1">
      <c r="A6" s="1382" t="s">
        <v>220</v>
      </c>
      <c r="B6" s="1379" t="s">
        <v>219</v>
      </c>
      <c r="C6" s="1379" t="s">
        <v>218</v>
      </c>
      <c r="D6" s="187" t="s">
        <v>217</v>
      </c>
      <c r="E6" s="1379" t="s">
        <v>216</v>
      </c>
      <c r="F6" s="1379"/>
      <c r="G6" s="187" t="s">
        <v>215</v>
      </c>
      <c r="H6" s="1379" t="s">
        <v>214</v>
      </c>
      <c r="I6" s="1379"/>
      <c r="J6" s="1379" t="s">
        <v>240</v>
      </c>
      <c r="K6" s="1380" t="s">
        <v>212</v>
      </c>
    </row>
    <row r="7" spans="1:11" s="186" customFormat="1">
      <c r="A7" s="1382"/>
      <c r="B7" s="1379"/>
      <c r="C7" s="1379"/>
      <c r="D7" s="187"/>
      <c r="E7" s="187" t="s">
        <v>211</v>
      </c>
      <c r="F7" s="187" t="s">
        <v>210</v>
      </c>
      <c r="G7" s="187"/>
      <c r="H7" s="187" t="s">
        <v>211</v>
      </c>
      <c r="I7" s="187" t="s">
        <v>210</v>
      </c>
      <c r="J7" s="1379"/>
      <c r="K7" s="1380"/>
    </row>
    <row r="8" spans="1:11" ht="15.95" customHeight="1">
      <c r="A8" s="1279" t="s">
        <v>208</v>
      </c>
      <c r="B8" s="189"/>
      <c r="C8" s="189"/>
      <c r="D8" s="189"/>
      <c r="E8" s="189"/>
      <c r="F8" s="189"/>
      <c r="G8" s="189"/>
      <c r="H8" s="189"/>
      <c r="I8" s="189"/>
      <c r="J8" s="189"/>
      <c r="K8" s="190">
        <f>SUM(K9)</f>
        <v>0</v>
      </c>
    </row>
    <row r="9" spans="1:11" ht="19.5" customHeight="1">
      <c r="A9" s="559"/>
      <c r="B9" s="193"/>
      <c r="C9" s="193"/>
      <c r="D9" s="194"/>
      <c r="E9" s="194"/>
      <c r="F9" s="194"/>
      <c r="G9" s="193"/>
      <c r="H9" s="193"/>
      <c r="I9" s="193"/>
      <c r="J9" s="193"/>
      <c r="K9" s="195"/>
    </row>
    <row r="10" spans="1:11" ht="15.95" customHeight="1">
      <c r="A10" s="1279" t="s">
        <v>207</v>
      </c>
      <c r="B10" s="189"/>
      <c r="C10" s="189"/>
      <c r="D10" s="196"/>
      <c r="E10" s="196"/>
      <c r="F10" s="196"/>
      <c r="G10" s="189"/>
      <c r="H10" s="189"/>
      <c r="I10" s="189"/>
      <c r="J10" s="189"/>
      <c r="K10" s="190">
        <f>SUM(K11:K17)</f>
        <v>2996485.6700000004</v>
      </c>
    </row>
    <row r="11" spans="1:11" s="239" customFormat="1" ht="15.95" customHeight="1">
      <c r="A11" s="1280" t="s">
        <v>347</v>
      </c>
      <c r="B11" s="1281" t="s">
        <v>2392</v>
      </c>
      <c r="C11" s="1282" t="s">
        <v>252</v>
      </c>
      <c r="D11" s="1283"/>
      <c r="E11" s="1283"/>
      <c r="F11" s="1283"/>
      <c r="G11" s="1283"/>
      <c r="H11" s="1284">
        <v>6.65</v>
      </c>
      <c r="I11" s="1284">
        <v>33.25</v>
      </c>
      <c r="J11" s="237" t="s">
        <v>2393</v>
      </c>
      <c r="K11" s="261">
        <f>+[4]HT!C3</f>
        <v>1417270.83</v>
      </c>
    </row>
    <row r="12" spans="1:11" s="239" customFormat="1" ht="15.95" customHeight="1">
      <c r="A12" s="1280" t="s">
        <v>2394</v>
      </c>
      <c r="B12" s="235" t="s">
        <v>2395</v>
      </c>
      <c r="C12" s="235" t="s">
        <v>2396</v>
      </c>
      <c r="D12" s="1285"/>
      <c r="E12" s="1285"/>
      <c r="F12" s="1286"/>
      <c r="G12" s="235" t="s">
        <v>2397</v>
      </c>
      <c r="H12" s="1284"/>
      <c r="I12" s="1284"/>
      <c r="J12" s="237" t="s">
        <v>2393</v>
      </c>
      <c r="K12" s="261">
        <f>+[4]HT!C5</f>
        <v>883390.99</v>
      </c>
    </row>
    <row r="13" spans="1:11" s="239" customFormat="1" ht="15.95" customHeight="1">
      <c r="A13" s="1280" t="s">
        <v>2398</v>
      </c>
      <c r="B13" s="1281" t="s">
        <v>2399</v>
      </c>
      <c r="C13" s="235" t="s">
        <v>758</v>
      </c>
      <c r="D13" s="1285">
        <v>1.4999999999999999E-2</v>
      </c>
      <c r="E13" s="1285">
        <v>7.0000000000000001E-3</v>
      </c>
      <c r="F13" s="1286">
        <v>0.05</v>
      </c>
      <c r="G13" s="233"/>
      <c r="H13" s="1284"/>
      <c r="I13" s="1284"/>
      <c r="J13" s="237" t="s">
        <v>2393</v>
      </c>
      <c r="K13" s="261">
        <f>+[4]HT!C4</f>
        <v>694892.85</v>
      </c>
    </row>
    <row r="14" spans="1:11" s="239" customFormat="1" ht="14.25" customHeight="1">
      <c r="A14" s="1280" t="s">
        <v>155</v>
      </c>
      <c r="B14" s="1287" t="s">
        <v>2400</v>
      </c>
      <c r="C14" s="235" t="s">
        <v>2400</v>
      </c>
      <c r="D14" s="236"/>
      <c r="E14" s="236"/>
      <c r="F14" s="236"/>
      <c r="G14" s="1284">
        <v>931</v>
      </c>
      <c r="H14" s="237"/>
      <c r="I14" s="237"/>
      <c r="J14" s="237" t="s">
        <v>2393</v>
      </c>
      <c r="K14" s="261">
        <v>931</v>
      </c>
    </row>
    <row r="15" spans="1:11" ht="15.95" customHeight="1">
      <c r="A15" s="559"/>
      <c r="B15" s="193"/>
      <c r="C15" s="193"/>
      <c r="D15" s="194"/>
      <c r="E15" s="194"/>
      <c r="F15" s="194"/>
      <c r="G15" s="193"/>
      <c r="H15" s="193"/>
      <c r="I15" s="193"/>
      <c r="J15" s="193"/>
      <c r="K15" s="195"/>
    </row>
    <row r="16" spans="1:11" ht="15.95" customHeight="1">
      <c r="A16" s="559"/>
      <c r="B16" s="193"/>
      <c r="C16" s="193"/>
      <c r="D16" s="194"/>
      <c r="E16" s="194"/>
      <c r="F16" s="194"/>
      <c r="G16" s="193"/>
      <c r="H16" s="193"/>
      <c r="I16" s="193"/>
      <c r="J16" s="193"/>
      <c r="K16" s="195"/>
    </row>
    <row r="17" spans="1:11" ht="15.95" customHeight="1">
      <c r="A17" s="559"/>
      <c r="B17" s="193"/>
      <c r="C17" s="193"/>
      <c r="D17" s="194"/>
      <c r="E17" s="194"/>
      <c r="F17" s="194"/>
      <c r="G17" s="193"/>
      <c r="H17" s="193"/>
      <c r="I17" s="193"/>
      <c r="J17" s="193"/>
      <c r="K17" s="195"/>
    </row>
    <row r="18" spans="1:11" s="177" customFormat="1" ht="15.95" customHeight="1">
      <c r="A18" s="1288" t="s">
        <v>191</v>
      </c>
      <c r="B18" s="210"/>
      <c r="C18" s="210"/>
      <c r="D18" s="211"/>
      <c r="E18" s="211"/>
      <c r="F18" s="211"/>
      <c r="G18" s="210"/>
      <c r="H18" s="210"/>
      <c r="I18" s="210"/>
      <c r="J18" s="210"/>
      <c r="K18" s="213">
        <f>SUM(K19:K23)</f>
        <v>1939890.7599999998</v>
      </c>
    </row>
    <row r="19" spans="1:11" s="895" customFormat="1" ht="30">
      <c r="A19" s="1280" t="s">
        <v>2401</v>
      </c>
      <c r="B19" s="1281" t="s">
        <v>2402</v>
      </c>
      <c r="C19" s="235" t="s">
        <v>205</v>
      </c>
      <c r="D19" s="1289"/>
      <c r="E19" s="1290" t="s">
        <v>2403</v>
      </c>
      <c r="F19" s="1290" t="s">
        <v>2404</v>
      </c>
      <c r="G19" s="1275"/>
      <c r="H19" s="1275"/>
      <c r="I19" s="1275"/>
      <c r="J19" s="237" t="s">
        <v>2393</v>
      </c>
      <c r="K19" s="911">
        <f>+[4]HT!C14</f>
        <v>1062429.1399999999</v>
      </c>
    </row>
    <row r="20" spans="1:11" s="895" customFormat="1" ht="15.95" customHeight="1">
      <c r="A20" s="1291" t="s">
        <v>2405</v>
      </c>
      <c r="B20" s="1281" t="s">
        <v>2402</v>
      </c>
      <c r="C20" s="235" t="s">
        <v>205</v>
      </c>
      <c r="D20" s="1292">
        <v>8.6956000000000006E-2</v>
      </c>
      <c r="E20" s="1289"/>
      <c r="F20" s="1289"/>
      <c r="G20" s="1275"/>
      <c r="H20" s="1275"/>
      <c r="I20" s="1275"/>
      <c r="J20" s="237" t="s">
        <v>2393</v>
      </c>
      <c r="K20" s="911">
        <f>+[4]HT!C17</f>
        <v>570253.22</v>
      </c>
    </row>
    <row r="21" spans="1:11" s="895" customFormat="1" ht="15.95" customHeight="1">
      <c r="A21" s="1280" t="s">
        <v>2406</v>
      </c>
      <c r="B21" s="1281" t="s">
        <v>2407</v>
      </c>
      <c r="C21" s="235" t="s">
        <v>2408</v>
      </c>
      <c r="D21" s="1289"/>
      <c r="E21" s="1289"/>
      <c r="F21" s="1289"/>
      <c r="G21" s="235" t="s">
        <v>2409</v>
      </c>
      <c r="H21" s="1293"/>
      <c r="I21" s="1275"/>
      <c r="J21" s="237" t="s">
        <v>2393</v>
      </c>
      <c r="K21" s="911">
        <f>+[4]HT!C23</f>
        <v>190000</v>
      </c>
    </row>
    <row r="22" spans="1:11" s="895" customFormat="1" ht="15.95" customHeight="1">
      <c r="A22" s="1280" t="s">
        <v>2410</v>
      </c>
      <c r="B22" s="1281" t="s">
        <v>2411</v>
      </c>
      <c r="C22" s="235" t="s">
        <v>758</v>
      </c>
      <c r="D22" s="1289"/>
      <c r="E22" s="1289"/>
      <c r="F22" s="1289"/>
      <c r="G22" s="1294"/>
      <c r="H22" s="1295" t="s">
        <v>2412</v>
      </c>
      <c r="I22" s="1275"/>
      <c r="J22" s="237" t="s">
        <v>2393</v>
      </c>
      <c r="K22" s="911">
        <f>+[4]HT!C16</f>
        <v>117208.4</v>
      </c>
    </row>
    <row r="23" spans="1:11" s="177" customFormat="1" ht="15.95" customHeight="1">
      <c r="A23" s="559"/>
      <c r="B23" s="217"/>
      <c r="C23" s="217"/>
      <c r="D23" s="216"/>
      <c r="E23" s="216"/>
      <c r="F23" s="216"/>
      <c r="G23" s="217"/>
      <c r="H23" s="217"/>
      <c r="I23" s="217"/>
      <c r="J23" s="217"/>
      <c r="K23" s="219"/>
    </row>
    <row r="24" spans="1:11" ht="15.95" customHeight="1">
      <c r="A24" s="1279" t="s">
        <v>179</v>
      </c>
      <c r="B24" s="189"/>
      <c r="C24" s="189"/>
      <c r="D24" s="196"/>
      <c r="E24" s="196"/>
      <c r="F24" s="196"/>
      <c r="G24" s="189"/>
      <c r="H24" s="189"/>
      <c r="I24" s="189"/>
      <c r="J24" s="189"/>
      <c r="K24" s="190">
        <f>SUM(K25:K31)</f>
        <v>680864.12</v>
      </c>
    </row>
    <row r="25" spans="1:11" s="239" customFormat="1" ht="15.95" customHeight="1">
      <c r="A25" s="1280" t="s">
        <v>1947</v>
      </c>
      <c r="B25" s="1287" t="s">
        <v>2413</v>
      </c>
      <c r="C25" s="235" t="s">
        <v>2400</v>
      </c>
      <c r="D25" s="1296"/>
      <c r="E25" s="236"/>
      <c r="F25" s="236"/>
      <c r="G25" s="237"/>
      <c r="H25" s="1297">
        <v>665</v>
      </c>
      <c r="I25" s="1297">
        <v>2660</v>
      </c>
      <c r="J25" s="237" t="s">
        <v>2393</v>
      </c>
      <c r="K25" s="261">
        <f>+[4]HT!C13</f>
        <v>176358</v>
      </c>
    </row>
    <row r="26" spans="1:11" s="239" customFormat="1" ht="15.95" customHeight="1">
      <c r="A26" s="1280" t="s">
        <v>2414</v>
      </c>
      <c r="B26" s="1298" t="s">
        <v>2415</v>
      </c>
      <c r="C26" s="235" t="s">
        <v>2416</v>
      </c>
      <c r="D26" s="1299">
        <v>1.1000000000000001E-3</v>
      </c>
      <c r="E26" s="236"/>
      <c r="F26" s="236"/>
      <c r="G26" s="237"/>
      <c r="H26" s="237"/>
      <c r="I26" s="237"/>
      <c r="J26" s="237" t="s">
        <v>2393</v>
      </c>
      <c r="K26" s="261">
        <f>+[4]HT!C11</f>
        <v>141199.78</v>
      </c>
    </row>
    <row r="27" spans="1:11" s="239" customFormat="1" ht="15.95" customHeight="1">
      <c r="A27" s="1280" t="s">
        <v>2417</v>
      </c>
      <c r="B27" s="1298" t="s">
        <v>2415</v>
      </c>
      <c r="C27" s="235" t="s">
        <v>2416</v>
      </c>
      <c r="D27" s="1296"/>
      <c r="E27" s="236"/>
      <c r="F27" s="236"/>
      <c r="G27" s="237"/>
      <c r="H27" s="237"/>
      <c r="I27" s="237"/>
      <c r="J27" s="237" t="s">
        <v>2393</v>
      </c>
      <c r="K27" s="261">
        <f>+[4]HT!C10</f>
        <v>131480.31</v>
      </c>
    </row>
    <row r="28" spans="1:11" s="239" customFormat="1" ht="15.95" customHeight="1">
      <c r="A28" s="1300" t="s">
        <v>2418</v>
      </c>
      <c r="B28" s="1298" t="s">
        <v>2419</v>
      </c>
      <c r="C28" s="235" t="s">
        <v>2400</v>
      </c>
      <c r="D28" s="1296"/>
      <c r="E28" s="236"/>
      <c r="F28" s="236"/>
      <c r="G28" s="237"/>
      <c r="H28" s="1301">
        <v>399</v>
      </c>
      <c r="I28" s="1284">
        <v>1330</v>
      </c>
      <c r="J28" s="237" t="s">
        <v>2393</v>
      </c>
      <c r="K28" s="261">
        <f>+[4]HT!C7</f>
        <v>122842.03</v>
      </c>
    </row>
    <row r="29" spans="1:11" s="239" customFormat="1" ht="15.95" customHeight="1">
      <c r="A29" s="1302" t="s">
        <v>158</v>
      </c>
      <c r="B29" s="1287" t="s">
        <v>2400</v>
      </c>
      <c r="C29" s="235" t="s">
        <v>2400</v>
      </c>
      <c r="D29" s="1296"/>
      <c r="E29" s="236"/>
      <c r="F29" s="236"/>
      <c r="G29" s="237"/>
      <c r="H29" s="1284">
        <v>582</v>
      </c>
      <c r="I29" s="1303">
        <v>1436</v>
      </c>
      <c r="J29" s="237" t="s">
        <v>2393</v>
      </c>
      <c r="K29" s="261">
        <v>84000</v>
      </c>
    </row>
    <row r="30" spans="1:11" s="239" customFormat="1" ht="15.95" customHeight="1">
      <c r="A30" s="1304" t="s">
        <v>2420</v>
      </c>
      <c r="B30" s="1298" t="s">
        <v>2421</v>
      </c>
      <c r="C30" s="235" t="s">
        <v>2400</v>
      </c>
      <c r="D30" s="1299">
        <v>0.05</v>
      </c>
      <c r="E30" s="236"/>
      <c r="F30" s="236"/>
      <c r="G30" s="237"/>
      <c r="H30" s="1301">
        <v>931</v>
      </c>
      <c r="I30" s="1305"/>
      <c r="J30" s="237" t="s">
        <v>2393</v>
      </c>
      <c r="K30" s="261">
        <f>+[4]HT!C9</f>
        <v>13034</v>
      </c>
    </row>
    <row r="31" spans="1:11" s="239" customFormat="1" ht="15.95" customHeight="1">
      <c r="A31" s="1304" t="s">
        <v>1399</v>
      </c>
      <c r="B31" s="1306" t="s">
        <v>2422</v>
      </c>
      <c r="C31" s="1281" t="s">
        <v>2400</v>
      </c>
      <c r="D31" s="1296"/>
      <c r="E31" s="236"/>
      <c r="F31" s="236"/>
      <c r="G31" s="237"/>
      <c r="H31" s="1301">
        <v>450</v>
      </c>
      <c r="I31" s="1307">
        <v>1500</v>
      </c>
      <c r="J31" s="237" t="s">
        <v>2393</v>
      </c>
      <c r="K31" s="261">
        <f>+[4]HT!C8</f>
        <v>11950</v>
      </c>
    </row>
    <row r="32" spans="1:11" ht="15.95" customHeight="1">
      <c r="A32" s="294"/>
      <c r="B32" s="1308"/>
      <c r="C32" s="294"/>
      <c r="D32" s="1309"/>
      <c r="E32" s="294"/>
      <c r="F32" s="294"/>
      <c r="G32" s="294"/>
      <c r="H32" s="965"/>
      <c r="I32" s="1310"/>
      <c r="J32" s="294"/>
      <c r="K32" s="294"/>
    </row>
    <row r="33" spans="1:11" ht="15.95" customHeight="1">
      <c r="A33" s="1279" t="s">
        <v>152</v>
      </c>
      <c r="B33" s="1311"/>
      <c r="C33" s="189"/>
      <c r="D33" s="1312"/>
      <c r="E33" s="196"/>
      <c r="F33" s="196"/>
      <c r="G33" s="189"/>
      <c r="H33" s="189"/>
      <c r="I33" s="189"/>
      <c r="J33" s="189"/>
      <c r="K33" s="190">
        <f>SUM(K34:K36)</f>
        <v>0</v>
      </c>
    </row>
    <row r="34" spans="1:11" ht="15.95" customHeight="1">
      <c r="A34" s="751"/>
      <c r="B34" s="193"/>
      <c r="C34" s="193"/>
      <c r="D34" s="194"/>
      <c r="E34" s="194"/>
      <c r="F34" s="194"/>
      <c r="G34" s="193"/>
      <c r="H34" s="193"/>
      <c r="I34" s="193"/>
      <c r="J34" s="193"/>
      <c r="K34" s="195"/>
    </row>
    <row r="35" spans="1:11" ht="15.95" customHeight="1">
      <c r="A35" s="751"/>
      <c r="B35" s="193"/>
      <c r="C35" s="193"/>
      <c r="D35" s="194"/>
      <c r="E35" s="194"/>
      <c r="F35" s="194"/>
      <c r="G35" s="193"/>
      <c r="H35" s="193"/>
      <c r="I35" s="193"/>
      <c r="J35" s="193"/>
      <c r="K35" s="195"/>
    </row>
    <row r="36" spans="1:11" ht="15.95" customHeight="1">
      <c r="A36" s="751"/>
      <c r="B36" s="193"/>
      <c r="C36" s="193"/>
      <c r="D36" s="194"/>
      <c r="E36" s="194"/>
      <c r="F36" s="194"/>
      <c r="G36" s="193"/>
      <c r="H36" s="193"/>
      <c r="I36" s="193"/>
      <c r="J36" s="193"/>
      <c r="K36" s="195"/>
    </row>
    <row r="37" spans="1:11" ht="15.95" customHeight="1">
      <c r="A37" s="1279" t="s">
        <v>151</v>
      </c>
      <c r="B37" s="189"/>
      <c r="C37" s="189"/>
      <c r="D37" s="196"/>
      <c r="E37" s="196"/>
      <c r="F37" s="196"/>
      <c r="G37" s="189"/>
      <c r="H37" s="189"/>
      <c r="I37" s="189"/>
      <c r="J37" s="189"/>
      <c r="K37" s="190">
        <f>SUM(K38:K40)</f>
        <v>95635.48</v>
      </c>
    </row>
    <row r="38" spans="1:11" s="239" customFormat="1" ht="15.95" customHeight="1">
      <c r="A38" s="1313" t="s">
        <v>548</v>
      </c>
      <c r="B38" s="1306" t="s">
        <v>2423</v>
      </c>
      <c r="C38" s="1306" t="s">
        <v>2424</v>
      </c>
      <c r="D38" s="1306"/>
      <c r="E38" s="1306"/>
      <c r="F38" s="1306"/>
      <c r="G38" s="1306" t="s">
        <v>2425</v>
      </c>
      <c r="H38" s="237"/>
      <c r="I38" s="237"/>
      <c r="J38" s="237" t="s">
        <v>2393</v>
      </c>
      <c r="K38" s="261">
        <f>+[4]HT!C12</f>
        <v>95635.48</v>
      </c>
    </row>
    <row r="39" spans="1:11" ht="15.95" customHeight="1">
      <c r="A39" s="751"/>
      <c r="B39" s="193"/>
      <c r="C39" s="193"/>
      <c r="D39" s="194"/>
      <c r="E39" s="194"/>
      <c r="F39" s="194"/>
      <c r="G39" s="193"/>
      <c r="H39" s="193"/>
      <c r="I39" s="193"/>
      <c r="J39" s="193"/>
      <c r="K39" s="195"/>
    </row>
    <row r="40" spans="1:11" ht="15.95" customHeight="1">
      <c r="A40" s="751"/>
      <c r="B40" s="193"/>
      <c r="C40" s="193"/>
      <c r="D40" s="194"/>
      <c r="E40" s="194"/>
      <c r="F40" s="194"/>
      <c r="G40" s="193"/>
      <c r="H40" s="193"/>
      <c r="I40" s="193"/>
      <c r="J40" s="193"/>
      <c r="K40" s="195"/>
    </row>
    <row r="41" spans="1:11" s="177" customFormat="1" ht="15.95" customHeight="1">
      <c r="A41" s="1288" t="s">
        <v>137</v>
      </c>
      <c r="B41" s="210"/>
      <c r="C41" s="210"/>
      <c r="D41" s="211"/>
      <c r="E41" s="211"/>
      <c r="F41" s="211"/>
      <c r="G41" s="210"/>
      <c r="H41" s="210"/>
      <c r="I41" s="210"/>
      <c r="J41" s="210"/>
      <c r="K41" s="213">
        <f>SUM(K42)</f>
        <v>0</v>
      </c>
    </row>
    <row r="42" spans="1:11" s="177" customFormat="1" ht="15.95" customHeight="1">
      <c r="A42" s="759"/>
      <c r="B42" s="217"/>
      <c r="C42" s="217"/>
      <c r="D42" s="216"/>
      <c r="E42" s="216"/>
      <c r="F42" s="216"/>
      <c r="G42" s="217"/>
      <c r="H42" s="217"/>
      <c r="I42" s="217"/>
      <c r="J42" s="217"/>
      <c r="K42" s="219"/>
    </row>
    <row r="43" spans="1:11" ht="15.95" customHeight="1">
      <c r="A43" s="1279" t="s">
        <v>136</v>
      </c>
      <c r="B43" s="189"/>
      <c r="C43" s="189"/>
      <c r="D43" s="196"/>
      <c r="E43" s="196"/>
      <c r="F43" s="196"/>
      <c r="G43" s="189"/>
      <c r="H43" s="189"/>
      <c r="I43" s="189"/>
      <c r="J43" s="189"/>
      <c r="K43" s="190">
        <f>SUM(K44:K48)</f>
        <v>1288962.23</v>
      </c>
    </row>
    <row r="44" spans="1:11" s="239" customFormat="1" ht="15.95" customHeight="1">
      <c r="A44" s="1314" t="s">
        <v>1980</v>
      </c>
      <c r="B44" s="1281" t="s">
        <v>2426</v>
      </c>
      <c r="C44" s="1275"/>
      <c r="D44" s="236"/>
      <c r="E44" s="236"/>
      <c r="F44" s="236"/>
      <c r="G44" s="237"/>
      <c r="H44" s="237"/>
      <c r="I44" s="237"/>
      <c r="J44" s="237" t="s">
        <v>2393</v>
      </c>
      <c r="K44" s="261">
        <v>749521.26</v>
      </c>
    </row>
    <row r="45" spans="1:11" s="239" customFormat="1" ht="15.95" customHeight="1">
      <c r="A45" s="1315" t="s">
        <v>2427</v>
      </c>
      <c r="B45" s="1281" t="s">
        <v>2428</v>
      </c>
      <c r="C45" s="235" t="s">
        <v>2429</v>
      </c>
      <c r="D45" s="236"/>
      <c r="E45" s="236"/>
      <c r="F45" s="236"/>
      <c r="G45" s="237"/>
      <c r="H45" s="237"/>
      <c r="I45" s="237"/>
      <c r="J45" s="237" t="s">
        <v>2393</v>
      </c>
      <c r="K45" s="261">
        <f>+[4]HT!C21</f>
        <v>525628.12</v>
      </c>
    </row>
    <row r="46" spans="1:11" s="239" customFormat="1" ht="15.95" customHeight="1">
      <c r="A46" s="1316" t="s">
        <v>2430</v>
      </c>
      <c r="B46" s="1281" t="s">
        <v>2431</v>
      </c>
      <c r="C46" s="1281" t="s">
        <v>2432</v>
      </c>
      <c r="D46" s="236"/>
      <c r="E46" s="236"/>
      <c r="F46" s="236"/>
      <c r="G46" s="237"/>
      <c r="H46" s="237"/>
      <c r="I46" s="237"/>
      <c r="J46" s="1317" t="s">
        <v>2433</v>
      </c>
      <c r="K46" s="261">
        <f>+[4]HT!C24</f>
        <v>13812.85</v>
      </c>
    </row>
    <row r="47" spans="1:11" s="239" customFormat="1" ht="15.95" customHeight="1">
      <c r="A47" s="1318"/>
      <c r="B47" s="237"/>
      <c r="C47" s="237"/>
      <c r="D47" s="236"/>
      <c r="E47" s="236"/>
      <c r="F47" s="236"/>
      <c r="G47" s="237"/>
      <c r="H47" s="237"/>
      <c r="I47" s="237"/>
      <c r="J47" s="237"/>
      <c r="K47" s="261"/>
    </row>
    <row r="48" spans="1:11" ht="15.95" customHeight="1">
      <c r="A48" s="751"/>
      <c r="B48" s="193"/>
      <c r="C48" s="193"/>
      <c r="D48" s="194"/>
      <c r="E48" s="194"/>
      <c r="F48" s="194"/>
      <c r="G48" s="193"/>
      <c r="H48" s="193"/>
      <c r="I48" s="193"/>
      <c r="J48" s="193"/>
      <c r="K48" s="195"/>
    </row>
    <row r="49" spans="1:11" ht="15.95" customHeight="1">
      <c r="A49" s="1319" t="s">
        <v>108</v>
      </c>
      <c r="B49" s="242"/>
      <c r="C49" s="242"/>
      <c r="D49" s="243"/>
      <c r="E49" s="243"/>
      <c r="F49" s="243"/>
      <c r="G49" s="242"/>
      <c r="H49" s="242"/>
      <c r="I49" s="242"/>
      <c r="J49" s="242"/>
      <c r="K49" s="276">
        <f>+K8+K10+K18+K24+K33+K37+K41+K43</f>
        <v>7001838.2599999998</v>
      </c>
    </row>
    <row r="50" spans="1:11">
      <c r="A50" s="1320"/>
      <c r="B50" s="246"/>
      <c r="C50" s="246"/>
      <c r="D50" s="246"/>
      <c r="E50" s="246"/>
      <c r="F50" s="246"/>
      <c r="G50" s="246"/>
      <c r="H50" s="977"/>
      <c r="I50" s="977"/>
      <c r="J50" s="246"/>
      <c r="K50" s="246"/>
    </row>
  </sheetData>
  <mergeCells count="7">
    <mergeCell ref="K6:K7"/>
    <mergeCell ref="A6:A7"/>
    <mergeCell ref="B6:B7"/>
    <mergeCell ref="C6:C7"/>
    <mergeCell ref="E6:F6"/>
    <mergeCell ref="H6:I6"/>
    <mergeCell ref="J6:J7"/>
  </mergeCells>
  <pageMargins left="0.25" right="0.25" top="0.75" bottom="0.75" header="0.3" footer="0.3"/>
  <pageSetup paperSize="5" scale="4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workbookViewId="0"/>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177" customFormat="1" ht="21" customHeight="1">
      <c r="A1" s="175" t="s">
        <v>235</v>
      </c>
      <c r="B1" s="176"/>
    </row>
    <row r="2" spans="1:11" s="177" customFormat="1" ht="19.5" customHeight="1">
      <c r="A2" s="178" t="s">
        <v>2434</v>
      </c>
      <c r="B2" s="176"/>
      <c r="C2" s="179"/>
      <c r="D2" s="179"/>
      <c r="E2" s="179"/>
      <c r="F2" s="179"/>
      <c r="G2" s="179"/>
      <c r="H2" s="179"/>
      <c r="I2" s="179"/>
      <c r="J2" s="179"/>
      <c r="K2" s="180" t="s">
        <v>234</v>
      </c>
    </row>
    <row r="3" spans="1:11" s="177" customFormat="1" ht="22.5" customHeight="1">
      <c r="A3" s="181" t="s">
        <v>238</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ht="21.75" customHeight="1">
      <c r="A6" s="179"/>
      <c r="B6" s="179"/>
      <c r="C6" s="179"/>
      <c r="D6" s="179"/>
      <c r="E6" s="179"/>
      <c r="F6" s="179"/>
      <c r="G6" s="179"/>
      <c r="H6" s="179"/>
      <c r="I6" s="179"/>
      <c r="J6" s="179"/>
      <c r="K6" s="179"/>
    </row>
    <row r="7" spans="1:11" s="177" customFormat="1" ht="18.75" customHeight="1">
      <c r="A7" s="415"/>
      <c r="B7" s="416"/>
      <c r="C7" s="416"/>
      <c r="D7" s="418"/>
      <c r="E7" s="418"/>
      <c r="F7" s="418"/>
      <c r="G7" s="248"/>
      <c r="H7" s="419"/>
      <c r="I7" s="419"/>
      <c r="K7" s="419"/>
    </row>
    <row r="8" spans="1:11" s="177" customFormat="1" ht="18.75" customHeight="1">
      <c r="A8" s="248"/>
      <c r="D8" s="419"/>
      <c r="E8" s="419"/>
      <c r="F8" s="419"/>
      <c r="G8" s="248"/>
      <c r="H8" s="419"/>
      <c r="I8" s="419"/>
      <c r="K8" s="419"/>
    </row>
    <row r="9" spans="1:11" s="177" customFormat="1">
      <c r="A9" s="184" t="s">
        <v>228</v>
      </c>
      <c r="B9" s="184" t="s">
        <v>227</v>
      </c>
      <c r="C9" s="184" t="s">
        <v>226</v>
      </c>
      <c r="D9" s="184"/>
      <c r="E9" s="183" t="s">
        <v>225</v>
      </c>
      <c r="F9" s="183"/>
      <c r="G9" s="184" t="s">
        <v>224</v>
      </c>
      <c r="H9" s="1381" t="s">
        <v>223</v>
      </c>
      <c r="I9" s="1381"/>
      <c r="J9" s="184" t="s">
        <v>222</v>
      </c>
      <c r="K9" s="184" t="s">
        <v>221</v>
      </c>
    </row>
    <row r="10" spans="1:11" s="186" customFormat="1">
      <c r="A10" s="1382" t="s">
        <v>220</v>
      </c>
      <c r="B10" s="1379" t="s">
        <v>219</v>
      </c>
      <c r="C10" s="1379" t="s">
        <v>218</v>
      </c>
      <c r="D10" s="1379" t="s">
        <v>217</v>
      </c>
      <c r="E10" s="1379" t="s">
        <v>216</v>
      </c>
      <c r="F10" s="1379"/>
      <c r="G10" s="1379" t="s">
        <v>215</v>
      </c>
      <c r="H10" s="1379" t="s">
        <v>214</v>
      </c>
      <c r="I10" s="1379"/>
      <c r="J10" s="1379" t="s">
        <v>240</v>
      </c>
      <c r="K10" s="1380" t="s">
        <v>212</v>
      </c>
    </row>
    <row r="11" spans="1:11" s="186" customFormat="1">
      <c r="A11" s="1382"/>
      <c r="B11" s="1379"/>
      <c r="C11" s="1379"/>
      <c r="D11" s="1379"/>
      <c r="E11" s="187" t="s">
        <v>211</v>
      </c>
      <c r="F11" s="187" t="s">
        <v>210</v>
      </c>
      <c r="G11" s="1379"/>
      <c r="H11" s="187" t="s">
        <v>211</v>
      </c>
      <c r="I11" s="187" t="s">
        <v>210</v>
      </c>
      <c r="J11" s="1379"/>
      <c r="K11" s="1380"/>
    </row>
    <row r="12" spans="1:11" ht="15.95" customHeight="1">
      <c r="A12" s="188" t="s">
        <v>208</v>
      </c>
      <c r="B12" s="189"/>
      <c r="C12" s="189"/>
      <c r="D12" s="189"/>
      <c r="E12" s="189"/>
      <c r="F12" s="189"/>
      <c r="G12" s="189"/>
      <c r="H12" s="189"/>
      <c r="I12" s="189"/>
      <c r="J12" s="189"/>
      <c r="K12" s="190">
        <f>SUM(K13)</f>
        <v>0</v>
      </c>
    </row>
    <row r="13" spans="1:11" ht="19.5" customHeight="1">
      <c r="A13" s="192"/>
      <c r="B13" s="193"/>
      <c r="C13" s="193"/>
      <c r="D13" s="194"/>
      <c r="E13" s="194"/>
      <c r="F13" s="194"/>
      <c r="G13" s="193"/>
      <c r="H13" s="193"/>
      <c r="I13" s="193"/>
      <c r="J13" s="193"/>
      <c r="K13" s="195"/>
    </row>
    <row r="14" spans="1:11" ht="15.95" customHeight="1">
      <c r="A14" s="188" t="s">
        <v>207</v>
      </c>
      <c r="B14" s="189"/>
      <c r="C14" s="189"/>
      <c r="D14" s="196"/>
      <c r="E14" s="196"/>
      <c r="F14" s="196"/>
      <c r="G14" s="189"/>
      <c r="H14" s="189"/>
      <c r="I14" s="189"/>
      <c r="J14" s="189"/>
      <c r="K14" s="190">
        <f>SUM(K15:K18)</f>
        <v>2503733.58</v>
      </c>
    </row>
    <row r="15" spans="1:11" ht="15.95" customHeight="1">
      <c r="A15" s="192" t="s">
        <v>2435</v>
      </c>
      <c r="B15" s="193" t="s">
        <v>2436</v>
      </c>
      <c r="C15" s="193" t="s">
        <v>345</v>
      </c>
      <c r="D15" s="424">
        <v>1.4999999999999999E-2</v>
      </c>
      <c r="E15" s="194"/>
      <c r="F15" s="194"/>
      <c r="G15" s="193"/>
      <c r="H15" s="193">
        <v>1400</v>
      </c>
      <c r="I15" s="193"/>
      <c r="J15" s="193" t="s">
        <v>2437</v>
      </c>
      <c r="K15" s="195">
        <v>2104934.36</v>
      </c>
    </row>
    <row r="16" spans="1:11" ht="15.95" customHeight="1">
      <c r="A16" s="192" t="s">
        <v>2438</v>
      </c>
      <c r="B16" s="193"/>
      <c r="C16" s="193" t="s">
        <v>367</v>
      </c>
      <c r="D16" s="194"/>
      <c r="E16" s="194"/>
      <c r="F16" s="194"/>
      <c r="G16" s="193"/>
      <c r="H16" s="193"/>
      <c r="I16" s="193"/>
      <c r="J16" s="193" t="s">
        <v>2437</v>
      </c>
      <c r="K16" s="195">
        <v>369849.22</v>
      </c>
    </row>
    <row r="17" spans="1:11" ht="15.95" customHeight="1">
      <c r="A17" s="192" t="s">
        <v>165</v>
      </c>
      <c r="B17" s="193"/>
      <c r="C17" s="193" t="s">
        <v>352</v>
      </c>
      <c r="D17" s="194"/>
      <c r="E17" s="194"/>
      <c r="F17" s="194"/>
      <c r="G17" s="193"/>
      <c r="H17" s="193">
        <v>800</v>
      </c>
      <c r="I17" s="193">
        <v>2500</v>
      </c>
      <c r="J17" s="193" t="s">
        <v>2437</v>
      </c>
      <c r="K17" s="195">
        <v>28950</v>
      </c>
    </row>
    <row r="18" spans="1:11" ht="15.95" customHeight="1">
      <c r="A18" s="192"/>
      <c r="B18" s="193"/>
      <c r="C18" s="193"/>
      <c r="D18" s="194"/>
      <c r="E18" s="194"/>
      <c r="F18" s="194"/>
      <c r="G18" s="193"/>
      <c r="H18" s="193"/>
      <c r="I18" s="193"/>
      <c r="J18" s="193"/>
      <c r="K18" s="195"/>
    </row>
    <row r="19" spans="1:11" s="177" customFormat="1" ht="15.95" customHeight="1">
      <c r="A19" s="209" t="s">
        <v>191</v>
      </c>
      <c r="B19" s="210"/>
      <c r="C19" s="210"/>
      <c r="D19" s="211"/>
      <c r="E19" s="211"/>
      <c r="F19" s="211"/>
      <c r="G19" s="210"/>
      <c r="H19" s="210"/>
      <c r="I19" s="210"/>
      <c r="J19" s="210"/>
      <c r="K19" s="213">
        <f>SUM(K20:K21)</f>
        <v>0</v>
      </c>
    </row>
    <row r="20" spans="1:11" s="177" customFormat="1" ht="15.95" customHeight="1">
      <c r="A20" s="192" t="s">
        <v>1474</v>
      </c>
      <c r="B20" s="217" t="s">
        <v>345</v>
      </c>
      <c r="C20" s="217"/>
      <c r="D20" s="216"/>
      <c r="E20" s="216"/>
      <c r="F20" s="216"/>
      <c r="G20" s="217"/>
      <c r="H20" s="217"/>
      <c r="I20" s="217"/>
      <c r="J20" s="217" t="s">
        <v>2437</v>
      </c>
      <c r="K20" s="219">
        <v>0</v>
      </c>
    </row>
    <row r="21" spans="1:11" s="177" customFormat="1" ht="15.95" customHeight="1">
      <c r="A21" s="192"/>
      <c r="B21" s="217"/>
      <c r="C21" s="217"/>
      <c r="D21" s="216"/>
      <c r="E21" s="216"/>
      <c r="F21" s="216"/>
      <c r="G21" s="217"/>
      <c r="H21" s="217"/>
      <c r="I21" s="217"/>
      <c r="J21" s="217"/>
      <c r="K21" s="219"/>
    </row>
    <row r="22" spans="1:11" ht="15.95" customHeight="1">
      <c r="A22" s="188" t="s">
        <v>179</v>
      </c>
      <c r="B22" s="189"/>
      <c r="C22" s="189"/>
      <c r="D22" s="196"/>
      <c r="E22" s="196"/>
      <c r="F22" s="196"/>
      <c r="G22" s="189"/>
      <c r="H22" s="189"/>
      <c r="I22" s="189"/>
      <c r="J22" s="189"/>
      <c r="K22" s="190">
        <f>SUM(K23:K26)</f>
        <v>104815.5</v>
      </c>
    </row>
    <row r="23" spans="1:11" ht="15.95" customHeight="1">
      <c r="A23" s="192" t="s">
        <v>2439</v>
      </c>
      <c r="B23" s="193" t="s">
        <v>2436</v>
      </c>
      <c r="C23" s="193" t="s">
        <v>345</v>
      </c>
      <c r="D23" s="424" t="s">
        <v>2440</v>
      </c>
      <c r="E23" s="194"/>
      <c r="F23" s="194"/>
      <c r="G23" s="193"/>
      <c r="H23" s="193"/>
      <c r="I23" s="193"/>
      <c r="J23" s="193" t="s">
        <v>2437</v>
      </c>
      <c r="K23" s="195">
        <v>104815.5</v>
      </c>
    </row>
    <row r="24" spans="1:11" ht="15.95" customHeight="1">
      <c r="A24" s="192" t="s">
        <v>2441</v>
      </c>
      <c r="B24" s="193" t="s">
        <v>2436</v>
      </c>
      <c r="C24" s="193"/>
      <c r="D24" s="194"/>
      <c r="E24" s="194">
        <v>0.01</v>
      </c>
      <c r="F24" s="194">
        <v>0.02</v>
      </c>
      <c r="G24" s="193"/>
      <c r="H24" s="193"/>
      <c r="I24" s="193"/>
      <c r="J24" s="193" t="s">
        <v>2437</v>
      </c>
      <c r="K24" s="195">
        <v>0</v>
      </c>
    </row>
    <row r="25" spans="1:11" ht="15.95" customHeight="1">
      <c r="A25" s="192" t="s">
        <v>2442</v>
      </c>
      <c r="B25" s="193"/>
      <c r="C25" s="193"/>
      <c r="D25" s="194">
        <v>0.03</v>
      </c>
      <c r="E25" s="194"/>
      <c r="F25" s="194"/>
      <c r="G25" s="193"/>
      <c r="H25" s="193"/>
      <c r="I25" s="193"/>
      <c r="J25" s="193" t="s">
        <v>2437</v>
      </c>
      <c r="K25" s="195">
        <v>0</v>
      </c>
    </row>
    <row r="26" spans="1:11" ht="15.95" customHeight="1">
      <c r="A26" s="192"/>
      <c r="B26" s="193"/>
      <c r="C26" s="193"/>
      <c r="D26" s="194"/>
      <c r="E26" s="194"/>
      <c r="F26" s="194"/>
      <c r="G26" s="193"/>
      <c r="H26" s="193"/>
      <c r="I26" s="193"/>
      <c r="J26" s="193"/>
      <c r="K26" s="195"/>
    </row>
    <row r="27" spans="1:11" ht="15.95" customHeight="1">
      <c r="A27" s="188" t="s">
        <v>152</v>
      </c>
      <c r="B27" s="189"/>
      <c r="C27" s="189"/>
      <c r="D27" s="196"/>
      <c r="E27" s="196"/>
      <c r="F27" s="196"/>
      <c r="G27" s="189"/>
      <c r="H27" s="189"/>
      <c r="I27" s="189"/>
      <c r="J27" s="189"/>
      <c r="K27" s="190">
        <f>SUM(K28:K28)</f>
        <v>0</v>
      </c>
    </row>
    <row r="28" spans="1:11" ht="15.95" customHeight="1">
      <c r="A28" s="256"/>
      <c r="B28" s="193"/>
      <c r="C28" s="193"/>
      <c r="D28" s="194"/>
      <c r="E28" s="194"/>
      <c r="F28" s="194"/>
      <c r="G28" s="193"/>
      <c r="H28" s="193"/>
      <c r="I28" s="193"/>
      <c r="J28" s="193"/>
      <c r="K28" s="195"/>
    </row>
    <row r="29" spans="1:11" ht="15.95" customHeight="1">
      <c r="A29" s="188" t="s">
        <v>151</v>
      </c>
      <c r="B29" s="189"/>
      <c r="C29" s="189"/>
      <c r="D29" s="196"/>
      <c r="E29" s="196"/>
      <c r="F29" s="196"/>
      <c r="G29" s="189"/>
      <c r="H29" s="189"/>
      <c r="I29" s="189"/>
      <c r="J29" s="189"/>
      <c r="K29" s="190">
        <f>SUM(K30:K32)</f>
        <v>34100</v>
      </c>
    </row>
    <row r="30" spans="1:11" ht="15.95" customHeight="1">
      <c r="A30" s="192" t="s">
        <v>2443</v>
      </c>
      <c r="B30" s="193"/>
      <c r="C30" s="193"/>
      <c r="D30" s="194"/>
      <c r="E30" s="194"/>
      <c r="F30" s="194"/>
      <c r="G30" s="193"/>
      <c r="H30" s="193"/>
      <c r="I30" s="193"/>
      <c r="J30" s="193"/>
      <c r="K30" s="195">
        <v>34100</v>
      </c>
    </row>
    <row r="31" spans="1:11" ht="15.95" customHeight="1">
      <c r="A31" s="256"/>
      <c r="B31" s="193"/>
      <c r="C31" s="193"/>
      <c r="D31" s="194"/>
      <c r="E31" s="194"/>
      <c r="F31" s="194"/>
      <c r="G31" s="193"/>
      <c r="H31" s="193"/>
      <c r="I31" s="193"/>
      <c r="J31" s="193"/>
      <c r="K31" s="195"/>
    </row>
    <row r="32" spans="1:11" ht="15.95" customHeight="1">
      <c r="A32" s="256"/>
      <c r="B32" s="193"/>
      <c r="C32" s="193"/>
      <c r="D32" s="194"/>
      <c r="E32" s="194"/>
      <c r="F32" s="194"/>
      <c r="G32" s="193"/>
      <c r="H32" s="193"/>
      <c r="I32" s="193"/>
      <c r="J32" s="193"/>
      <c r="K32" s="195"/>
    </row>
    <row r="33" spans="1:11" s="177" customFormat="1" ht="15.95" customHeight="1">
      <c r="A33" s="209" t="s">
        <v>137</v>
      </c>
      <c r="B33" s="210"/>
      <c r="C33" s="210"/>
      <c r="D33" s="211"/>
      <c r="E33" s="211"/>
      <c r="F33" s="211"/>
      <c r="G33" s="210"/>
      <c r="H33" s="210"/>
      <c r="I33" s="210"/>
      <c r="J33" s="210"/>
      <c r="K33" s="213">
        <f>SUM(K34)</f>
        <v>0</v>
      </c>
    </row>
    <row r="34" spans="1:11" s="177" customFormat="1" ht="15.95" customHeight="1">
      <c r="A34" s="274"/>
      <c r="B34" s="217"/>
      <c r="C34" s="217"/>
      <c r="D34" s="216"/>
      <c r="E34" s="216"/>
      <c r="F34" s="216"/>
      <c r="G34" s="217"/>
      <c r="H34" s="217"/>
      <c r="I34" s="217"/>
      <c r="J34" s="217"/>
      <c r="K34" s="219"/>
    </row>
    <row r="35" spans="1:11" ht="15.95" customHeight="1">
      <c r="A35" s="188" t="s">
        <v>136</v>
      </c>
      <c r="B35" s="189"/>
      <c r="C35" s="189"/>
      <c r="D35" s="196"/>
      <c r="E35" s="196"/>
      <c r="F35" s="196"/>
      <c r="G35" s="189"/>
      <c r="H35" s="189"/>
      <c r="I35" s="189"/>
      <c r="J35" s="189"/>
      <c r="K35" s="190">
        <f>SUM(K41)</f>
        <v>0</v>
      </c>
    </row>
    <row r="36" spans="1:11" ht="15.95" customHeight="1">
      <c r="A36" s="192" t="s">
        <v>2444</v>
      </c>
      <c r="B36" s="193"/>
      <c r="C36" s="193" t="s">
        <v>345</v>
      </c>
      <c r="D36" s="194"/>
      <c r="E36" s="194"/>
      <c r="F36" s="194"/>
      <c r="G36" s="193"/>
      <c r="H36" s="193"/>
      <c r="I36" s="193"/>
      <c r="J36" s="193"/>
      <c r="K36" s="195">
        <v>1434135.36</v>
      </c>
    </row>
    <row r="37" spans="1:11" ht="15.95" customHeight="1">
      <c r="A37" s="192" t="s">
        <v>2445</v>
      </c>
      <c r="B37" s="193"/>
      <c r="C37" s="193"/>
      <c r="D37" s="194"/>
      <c r="E37" s="194"/>
      <c r="F37" s="194"/>
      <c r="G37" s="193"/>
      <c r="H37" s="193"/>
      <c r="I37" s="193"/>
      <c r="J37" s="193"/>
      <c r="K37" s="195">
        <v>536677.29</v>
      </c>
    </row>
    <row r="38" spans="1:11">
      <c r="A38" s="192" t="s">
        <v>404</v>
      </c>
      <c r="B38" s="193"/>
      <c r="C38" s="193" t="s">
        <v>468</v>
      </c>
      <c r="D38" s="194"/>
      <c r="E38" s="194"/>
      <c r="F38" s="194"/>
      <c r="G38" s="193"/>
      <c r="H38" s="193"/>
      <c r="I38" s="193"/>
      <c r="J38" s="193" t="s">
        <v>2437</v>
      </c>
      <c r="K38" s="195">
        <v>534420.19999999995</v>
      </c>
    </row>
    <row r="39" spans="1:11">
      <c r="A39" s="192" t="s">
        <v>2446</v>
      </c>
      <c r="B39" s="193"/>
      <c r="C39" s="193" t="s">
        <v>468</v>
      </c>
      <c r="D39" s="194"/>
      <c r="E39" s="194"/>
      <c r="F39" s="194"/>
      <c r="G39" s="193"/>
      <c r="H39" s="193">
        <v>500</v>
      </c>
      <c r="I39" s="193"/>
      <c r="J39" s="193" t="s">
        <v>2437</v>
      </c>
      <c r="K39" s="195">
        <v>219591</v>
      </c>
    </row>
    <row r="40" spans="1:11">
      <c r="A40" s="192" t="s">
        <v>155</v>
      </c>
      <c r="B40" s="193"/>
      <c r="C40" s="193" t="s">
        <v>468</v>
      </c>
      <c r="D40" s="194"/>
      <c r="E40" s="194"/>
      <c r="F40" s="194"/>
      <c r="G40" s="193"/>
      <c r="H40" s="193">
        <v>1100</v>
      </c>
      <c r="I40" s="193"/>
      <c r="J40" s="193" t="s">
        <v>2437</v>
      </c>
      <c r="K40" s="195">
        <v>4650</v>
      </c>
    </row>
    <row r="41" spans="1:11">
      <c r="A41" s="256"/>
      <c r="B41" s="193"/>
      <c r="C41" s="193"/>
      <c r="D41" s="194"/>
      <c r="E41" s="194"/>
      <c r="F41" s="194"/>
      <c r="G41" s="193"/>
      <c r="H41" s="193"/>
      <c r="I41" s="193"/>
      <c r="J41" s="193"/>
      <c r="K41" s="195"/>
    </row>
    <row r="42" spans="1:11">
      <c r="A42" s="241" t="s">
        <v>108</v>
      </c>
      <c r="B42" s="242"/>
      <c r="C42" s="242"/>
      <c r="D42" s="243"/>
      <c r="E42" s="243"/>
      <c r="F42" s="243"/>
      <c r="G42" s="242"/>
      <c r="H42" s="242"/>
      <c r="I42" s="242"/>
      <c r="J42" s="242"/>
      <c r="K42" s="276">
        <f>+K12+K14+K19+K22+K27+K29+K33+K35</f>
        <v>2642649.08</v>
      </c>
    </row>
    <row r="43" spans="1:11">
      <c r="A43" s="245"/>
      <c r="B43" s="246"/>
      <c r="C43" s="246"/>
      <c r="D43" s="246"/>
      <c r="E43" s="246"/>
      <c r="F43" s="246"/>
      <c r="G43" s="246"/>
      <c r="H43" s="246"/>
      <c r="I43" s="246"/>
      <c r="J43" s="246"/>
      <c r="K43" s="246"/>
    </row>
  </sheetData>
  <mergeCells count="10">
    <mergeCell ref="J10:J11"/>
    <mergeCell ref="K10:K11"/>
    <mergeCell ref="H9:I9"/>
    <mergeCell ref="A10:A11"/>
    <mergeCell ref="B10:B11"/>
    <mergeCell ref="C10:C11"/>
    <mergeCell ref="D10:D11"/>
    <mergeCell ref="E10:F10"/>
    <mergeCell ref="G10:G11"/>
    <mergeCell ref="H10:I10"/>
  </mergeCells>
  <pageMargins left="0.70866141732283472" right="0.70866141732283472" top="0.74803149606299213" bottom="0.74803149606299213" header="0.31496062992125984" footer="0.31496062992125984"/>
  <pageSetup paperSize="9" scale="5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showGridLines="0" zoomScaleNormal="100" workbookViewId="0">
      <selection activeCell="B5" sqref="B5"/>
    </sheetView>
  </sheetViews>
  <sheetFormatPr baseColWidth="10" defaultColWidth="11" defaultRowHeight="15"/>
  <cols>
    <col min="1" max="1" width="65.140625" style="1235" customWidth="1"/>
    <col min="2" max="6" width="17.7109375" style="1235" customWidth="1"/>
    <col min="7" max="7" width="19.42578125" style="1235" customWidth="1"/>
    <col min="8" max="11" width="17.7109375" style="1235" customWidth="1"/>
    <col min="12" max="256" width="11" style="1235"/>
    <col min="257" max="257" width="65.140625" style="1235" customWidth="1"/>
    <col min="258" max="262" width="17.7109375" style="1235" customWidth="1"/>
    <col min="263" max="263" width="19.42578125" style="1235" customWidth="1"/>
    <col min="264" max="267" width="17.7109375" style="1235" customWidth="1"/>
    <col min="268" max="512" width="11" style="1235"/>
    <col min="513" max="513" width="65.140625" style="1235" customWidth="1"/>
    <col min="514" max="518" width="17.7109375" style="1235" customWidth="1"/>
    <col min="519" max="519" width="19.42578125" style="1235" customWidth="1"/>
    <col min="520" max="523" width="17.7109375" style="1235" customWidth="1"/>
    <col min="524" max="768" width="11" style="1235"/>
    <col min="769" max="769" width="65.140625" style="1235" customWidth="1"/>
    <col min="770" max="774" width="17.7109375" style="1235" customWidth="1"/>
    <col min="775" max="775" width="19.42578125" style="1235" customWidth="1"/>
    <col min="776" max="779" width="17.7109375" style="1235" customWidth="1"/>
    <col min="780" max="1024" width="11" style="1235"/>
    <col min="1025" max="1025" width="65.140625" style="1235" customWidth="1"/>
    <col min="1026" max="1030" width="17.7109375" style="1235" customWidth="1"/>
    <col min="1031" max="1031" width="19.42578125" style="1235" customWidth="1"/>
    <col min="1032" max="1035" width="17.7109375" style="1235" customWidth="1"/>
    <col min="1036" max="1280" width="11" style="1235"/>
    <col min="1281" max="1281" width="65.140625" style="1235" customWidth="1"/>
    <col min="1282" max="1286" width="17.7109375" style="1235" customWidth="1"/>
    <col min="1287" max="1287" width="19.42578125" style="1235" customWidth="1"/>
    <col min="1288" max="1291" width="17.7109375" style="1235" customWidth="1"/>
    <col min="1292" max="1536" width="11" style="1235"/>
    <col min="1537" max="1537" width="65.140625" style="1235" customWidth="1"/>
    <col min="1538" max="1542" width="17.7109375" style="1235" customWidth="1"/>
    <col min="1543" max="1543" width="19.42578125" style="1235" customWidth="1"/>
    <col min="1544" max="1547" width="17.7109375" style="1235" customWidth="1"/>
    <col min="1548" max="1792" width="11" style="1235"/>
    <col min="1793" max="1793" width="65.140625" style="1235" customWidth="1"/>
    <col min="1794" max="1798" width="17.7109375" style="1235" customWidth="1"/>
    <col min="1799" max="1799" width="19.42578125" style="1235" customWidth="1"/>
    <col min="1800" max="1803" width="17.7109375" style="1235" customWidth="1"/>
    <col min="1804" max="2048" width="11" style="1235"/>
    <col min="2049" max="2049" width="65.140625" style="1235" customWidth="1"/>
    <col min="2050" max="2054" width="17.7109375" style="1235" customWidth="1"/>
    <col min="2055" max="2055" width="19.42578125" style="1235" customWidth="1"/>
    <col min="2056" max="2059" width="17.7109375" style="1235" customWidth="1"/>
    <col min="2060" max="2304" width="11" style="1235"/>
    <col min="2305" max="2305" width="65.140625" style="1235" customWidth="1"/>
    <col min="2306" max="2310" width="17.7109375" style="1235" customWidth="1"/>
    <col min="2311" max="2311" width="19.42578125" style="1235" customWidth="1"/>
    <col min="2312" max="2315" width="17.7109375" style="1235" customWidth="1"/>
    <col min="2316" max="2560" width="11" style="1235"/>
    <col min="2561" max="2561" width="65.140625" style="1235" customWidth="1"/>
    <col min="2562" max="2566" width="17.7109375" style="1235" customWidth="1"/>
    <col min="2567" max="2567" width="19.42578125" style="1235" customWidth="1"/>
    <col min="2568" max="2571" width="17.7109375" style="1235" customWidth="1"/>
    <col min="2572" max="2816" width="11" style="1235"/>
    <col min="2817" max="2817" width="65.140625" style="1235" customWidth="1"/>
    <col min="2818" max="2822" width="17.7109375" style="1235" customWidth="1"/>
    <col min="2823" max="2823" width="19.42578125" style="1235" customWidth="1"/>
    <col min="2824" max="2827" width="17.7109375" style="1235" customWidth="1"/>
    <col min="2828" max="3072" width="11" style="1235"/>
    <col min="3073" max="3073" width="65.140625" style="1235" customWidth="1"/>
    <col min="3074" max="3078" width="17.7109375" style="1235" customWidth="1"/>
    <col min="3079" max="3079" width="19.42578125" style="1235" customWidth="1"/>
    <col min="3080" max="3083" width="17.7109375" style="1235" customWidth="1"/>
    <col min="3084" max="3328" width="11" style="1235"/>
    <col min="3329" max="3329" width="65.140625" style="1235" customWidth="1"/>
    <col min="3330" max="3334" width="17.7109375" style="1235" customWidth="1"/>
    <col min="3335" max="3335" width="19.42578125" style="1235" customWidth="1"/>
    <col min="3336" max="3339" width="17.7109375" style="1235" customWidth="1"/>
    <col min="3340" max="3584" width="11" style="1235"/>
    <col min="3585" max="3585" width="65.140625" style="1235" customWidth="1"/>
    <col min="3586" max="3590" width="17.7109375" style="1235" customWidth="1"/>
    <col min="3591" max="3591" width="19.42578125" style="1235" customWidth="1"/>
    <col min="3592" max="3595" width="17.7109375" style="1235" customWidth="1"/>
    <col min="3596" max="3840" width="11" style="1235"/>
    <col min="3841" max="3841" width="65.140625" style="1235" customWidth="1"/>
    <col min="3842" max="3846" width="17.7109375" style="1235" customWidth="1"/>
    <col min="3847" max="3847" width="19.42578125" style="1235" customWidth="1"/>
    <col min="3848" max="3851" width="17.7109375" style="1235" customWidth="1"/>
    <col min="3852" max="4096" width="11" style="1235"/>
    <col min="4097" max="4097" width="65.140625" style="1235" customWidth="1"/>
    <col min="4098" max="4102" width="17.7109375" style="1235" customWidth="1"/>
    <col min="4103" max="4103" width="19.42578125" style="1235" customWidth="1"/>
    <col min="4104" max="4107" width="17.7109375" style="1235" customWidth="1"/>
    <col min="4108" max="4352" width="11" style="1235"/>
    <col min="4353" max="4353" width="65.140625" style="1235" customWidth="1"/>
    <col min="4354" max="4358" width="17.7109375" style="1235" customWidth="1"/>
    <col min="4359" max="4359" width="19.42578125" style="1235" customWidth="1"/>
    <col min="4360" max="4363" width="17.7109375" style="1235" customWidth="1"/>
    <col min="4364" max="4608" width="11" style="1235"/>
    <col min="4609" max="4609" width="65.140625" style="1235" customWidth="1"/>
    <col min="4610" max="4614" width="17.7109375" style="1235" customWidth="1"/>
    <col min="4615" max="4615" width="19.42578125" style="1235" customWidth="1"/>
    <col min="4616" max="4619" width="17.7109375" style="1235" customWidth="1"/>
    <col min="4620" max="4864" width="11" style="1235"/>
    <col min="4865" max="4865" width="65.140625" style="1235" customWidth="1"/>
    <col min="4866" max="4870" width="17.7109375" style="1235" customWidth="1"/>
    <col min="4871" max="4871" width="19.42578125" style="1235" customWidth="1"/>
    <col min="4872" max="4875" width="17.7109375" style="1235" customWidth="1"/>
    <col min="4876" max="5120" width="11" style="1235"/>
    <col min="5121" max="5121" width="65.140625" style="1235" customWidth="1"/>
    <col min="5122" max="5126" width="17.7109375" style="1235" customWidth="1"/>
    <col min="5127" max="5127" width="19.42578125" style="1235" customWidth="1"/>
    <col min="5128" max="5131" width="17.7109375" style="1235" customWidth="1"/>
    <col min="5132" max="5376" width="11" style="1235"/>
    <col min="5377" max="5377" width="65.140625" style="1235" customWidth="1"/>
    <col min="5378" max="5382" width="17.7109375" style="1235" customWidth="1"/>
    <col min="5383" max="5383" width="19.42578125" style="1235" customWidth="1"/>
    <col min="5384" max="5387" width="17.7109375" style="1235" customWidth="1"/>
    <col min="5388" max="5632" width="11" style="1235"/>
    <col min="5633" max="5633" width="65.140625" style="1235" customWidth="1"/>
    <col min="5634" max="5638" width="17.7109375" style="1235" customWidth="1"/>
    <col min="5639" max="5639" width="19.42578125" style="1235" customWidth="1"/>
    <col min="5640" max="5643" width="17.7109375" style="1235" customWidth="1"/>
    <col min="5644" max="5888" width="11" style="1235"/>
    <col min="5889" max="5889" width="65.140625" style="1235" customWidth="1"/>
    <col min="5890" max="5894" width="17.7109375" style="1235" customWidth="1"/>
    <col min="5895" max="5895" width="19.42578125" style="1235" customWidth="1"/>
    <col min="5896" max="5899" width="17.7109375" style="1235" customWidth="1"/>
    <col min="5900" max="6144" width="11" style="1235"/>
    <col min="6145" max="6145" width="65.140625" style="1235" customWidth="1"/>
    <col min="6146" max="6150" width="17.7109375" style="1235" customWidth="1"/>
    <col min="6151" max="6151" width="19.42578125" style="1235" customWidth="1"/>
    <col min="6152" max="6155" width="17.7109375" style="1235" customWidth="1"/>
    <col min="6156" max="6400" width="11" style="1235"/>
    <col min="6401" max="6401" width="65.140625" style="1235" customWidth="1"/>
    <col min="6402" max="6406" width="17.7109375" style="1235" customWidth="1"/>
    <col min="6407" max="6407" width="19.42578125" style="1235" customWidth="1"/>
    <col min="6408" max="6411" width="17.7109375" style="1235" customWidth="1"/>
    <col min="6412" max="6656" width="11" style="1235"/>
    <col min="6657" max="6657" width="65.140625" style="1235" customWidth="1"/>
    <col min="6658" max="6662" width="17.7109375" style="1235" customWidth="1"/>
    <col min="6663" max="6663" width="19.42578125" style="1235" customWidth="1"/>
    <col min="6664" max="6667" width="17.7109375" style="1235" customWidth="1"/>
    <col min="6668" max="6912" width="11" style="1235"/>
    <col min="6913" max="6913" width="65.140625" style="1235" customWidth="1"/>
    <col min="6914" max="6918" width="17.7109375" style="1235" customWidth="1"/>
    <col min="6919" max="6919" width="19.42578125" style="1235" customWidth="1"/>
    <col min="6920" max="6923" width="17.7109375" style="1235" customWidth="1"/>
    <col min="6924" max="7168" width="11" style="1235"/>
    <col min="7169" max="7169" width="65.140625" style="1235" customWidth="1"/>
    <col min="7170" max="7174" width="17.7109375" style="1235" customWidth="1"/>
    <col min="7175" max="7175" width="19.42578125" style="1235" customWidth="1"/>
    <col min="7176" max="7179" width="17.7109375" style="1235" customWidth="1"/>
    <col min="7180" max="7424" width="11" style="1235"/>
    <col min="7425" max="7425" width="65.140625" style="1235" customWidth="1"/>
    <col min="7426" max="7430" width="17.7109375" style="1235" customWidth="1"/>
    <col min="7431" max="7431" width="19.42578125" style="1235" customWidth="1"/>
    <col min="7432" max="7435" width="17.7109375" style="1235" customWidth="1"/>
    <col min="7436" max="7680" width="11" style="1235"/>
    <col min="7681" max="7681" width="65.140625" style="1235" customWidth="1"/>
    <col min="7682" max="7686" width="17.7109375" style="1235" customWidth="1"/>
    <col min="7687" max="7687" width="19.42578125" style="1235" customWidth="1"/>
    <col min="7688" max="7691" width="17.7109375" style="1235" customWidth="1"/>
    <col min="7692" max="7936" width="11" style="1235"/>
    <col min="7937" max="7937" width="65.140625" style="1235" customWidth="1"/>
    <col min="7938" max="7942" width="17.7109375" style="1235" customWidth="1"/>
    <col min="7943" max="7943" width="19.42578125" style="1235" customWidth="1"/>
    <col min="7944" max="7947" width="17.7109375" style="1235" customWidth="1"/>
    <col min="7948" max="8192" width="11" style="1235"/>
    <col min="8193" max="8193" width="65.140625" style="1235" customWidth="1"/>
    <col min="8194" max="8198" width="17.7109375" style="1235" customWidth="1"/>
    <col min="8199" max="8199" width="19.42578125" style="1235" customWidth="1"/>
    <col min="8200" max="8203" width="17.7109375" style="1235" customWidth="1"/>
    <col min="8204" max="8448" width="11" style="1235"/>
    <col min="8449" max="8449" width="65.140625" style="1235" customWidth="1"/>
    <col min="8450" max="8454" width="17.7109375" style="1235" customWidth="1"/>
    <col min="8455" max="8455" width="19.42578125" style="1235" customWidth="1"/>
    <col min="8456" max="8459" width="17.7109375" style="1235" customWidth="1"/>
    <col min="8460" max="8704" width="11" style="1235"/>
    <col min="8705" max="8705" width="65.140625" style="1235" customWidth="1"/>
    <col min="8706" max="8710" width="17.7109375" style="1235" customWidth="1"/>
    <col min="8711" max="8711" width="19.42578125" style="1235" customWidth="1"/>
    <col min="8712" max="8715" width="17.7109375" style="1235" customWidth="1"/>
    <col min="8716" max="8960" width="11" style="1235"/>
    <col min="8961" max="8961" width="65.140625" style="1235" customWidth="1"/>
    <col min="8962" max="8966" width="17.7109375" style="1235" customWidth="1"/>
    <col min="8967" max="8967" width="19.42578125" style="1235" customWidth="1"/>
    <col min="8968" max="8971" width="17.7109375" style="1235" customWidth="1"/>
    <col min="8972" max="9216" width="11" style="1235"/>
    <col min="9217" max="9217" width="65.140625" style="1235" customWidth="1"/>
    <col min="9218" max="9222" width="17.7109375" style="1235" customWidth="1"/>
    <col min="9223" max="9223" width="19.42578125" style="1235" customWidth="1"/>
    <col min="9224" max="9227" width="17.7109375" style="1235" customWidth="1"/>
    <col min="9228" max="9472" width="11" style="1235"/>
    <col min="9473" max="9473" width="65.140625" style="1235" customWidth="1"/>
    <col min="9474" max="9478" width="17.7109375" style="1235" customWidth="1"/>
    <col min="9479" max="9479" width="19.42578125" style="1235" customWidth="1"/>
    <col min="9480" max="9483" width="17.7109375" style="1235" customWidth="1"/>
    <col min="9484" max="9728" width="11" style="1235"/>
    <col min="9729" max="9729" width="65.140625" style="1235" customWidth="1"/>
    <col min="9730" max="9734" width="17.7109375" style="1235" customWidth="1"/>
    <col min="9735" max="9735" width="19.42578125" style="1235" customWidth="1"/>
    <col min="9736" max="9739" width="17.7109375" style="1235" customWidth="1"/>
    <col min="9740" max="9984" width="11" style="1235"/>
    <col min="9985" max="9985" width="65.140625" style="1235" customWidth="1"/>
    <col min="9986" max="9990" width="17.7109375" style="1235" customWidth="1"/>
    <col min="9991" max="9991" width="19.42578125" style="1235" customWidth="1"/>
    <col min="9992" max="9995" width="17.7109375" style="1235" customWidth="1"/>
    <col min="9996" max="10240" width="11" style="1235"/>
    <col min="10241" max="10241" width="65.140625" style="1235" customWidth="1"/>
    <col min="10242" max="10246" width="17.7109375" style="1235" customWidth="1"/>
    <col min="10247" max="10247" width="19.42578125" style="1235" customWidth="1"/>
    <col min="10248" max="10251" width="17.7109375" style="1235" customWidth="1"/>
    <col min="10252" max="10496" width="11" style="1235"/>
    <col min="10497" max="10497" width="65.140625" style="1235" customWidth="1"/>
    <col min="10498" max="10502" width="17.7109375" style="1235" customWidth="1"/>
    <col min="10503" max="10503" width="19.42578125" style="1235" customWidth="1"/>
    <col min="10504" max="10507" width="17.7109375" style="1235" customWidth="1"/>
    <col min="10508" max="10752" width="11" style="1235"/>
    <col min="10753" max="10753" width="65.140625" style="1235" customWidth="1"/>
    <col min="10754" max="10758" width="17.7109375" style="1235" customWidth="1"/>
    <col min="10759" max="10759" width="19.42578125" style="1235" customWidth="1"/>
    <col min="10760" max="10763" width="17.7109375" style="1235" customWidth="1"/>
    <col min="10764" max="11008" width="11" style="1235"/>
    <col min="11009" max="11009" width="65.140625" style="1235" customWidth="1"/>
    <col min="11010" max="11014" width="17.7109375" style="1235" customWidth="1"/>
    <col min="11015" max="11015" width="19.42578125" style="1235" customWidth="1"/>
    <col min="11016" max="11019" width="17.7109375" style="1235" customWidth="1"/>
    <col min="11020" max="11264" width="11" style="1235"/>
    <col min="11265" max="11265" width="65.140625" style="1235" customWidth="1"/>
    <col min="11266" max="11270" width="17.7109375" style="1235" customWidth="1"/>
    <col min="11271" max="11271" width="19.42578125" style="1235" customWidth="1"/>
    <col min="11272" max="11275" width="17.7109375" style="1235" customWidth="1"/>
    <col min="11276" max="11520" width="11" style="1235"/>
    <col min="11521" max="11521" width="65.140625" style="1235" customWidth="1"/>
    <col min="11522" max="11526" width="17.7109375" style="1235" customWidth="1"/>
    <col min="11527" max="11527" width="19.42578125" style="1235" customWidth="1"/>
    <col min="11528" max="11531" width="17.7109375" style="1235" customWidth="1"/>
    <col min="11532" max="11776" width="11" style="1235"/>
    <col min="11777" max="11777" width="65.140625" style="1235" customWidth="1"/>
    <col min="11778" max="11782" width="17.7109375" style="1235" customWidth="1"/>
    <col min="11783" max="11783" width="19.42578125" style="1235" customWidth="1"/>
    <col min="11784" max="11787" width="17.7109375" style="1235" customWidth="1"/>
    <col min="11788" max="12032" width="11" style="1235"/>
    <col min="12033" max="12033" width="65.140625" style="1235" customWidth="1"/>
    <col min="12034" max="12038" width="17.7109375" style="1235" customWidth="1"/>
    <col min="12039" max="12039" width="19.42578125" style="1235" customWidth="1"/>
    <col min="12040" max="12043" width="17.7109375" style="1235" customWidth="1"/>
    <col min="12044" max="12288" width="11" style="1235"/>
    <col min="12289" max="12289" width="65.140625" style="1235" customWidth="1"/>
    <col min="12290" max="12294" width="17.7109375" style="1235" customWidth="1"/>
    <col min="12295" max="12295" width="19.42578125" style="1235" customWidth="1"/>
    <col min="12296" max="12299" width="17.7109375" style="1235" customWidth="1"/>
    <col min="12300" max="12544" width="11" style="1235"/>
    <col min="12545" max="12545" width="65.140625" style="1235" customWidth="1"/>
    <col min="12546" max="12550" width="17.7109375" style="1235" customWidth="1"/>
    <col min="12551" max="12551" width="19.42578125" style="1235" customWidth="1"/>
    <col min="12552" max="12555" width="17.7109375" style="1235" customWidth="1"/>
    <col min="12556" max="12800" width="11" style="1235"/>
    <col min="12801" max="12801" width="65.140625" style="1235" customWidth="1"/>
    <col min="12802" max="12806" width="17.7109375" style="1235" customWidth="1"/>
    <col min="12807" max="12807" width="19.42578125" style="1235" customWidth="1"/>
    <col min="12808" max="12811" width="17.7109375" style="1235" customWidth="1"/>
    <col min="12812" max="13056" width="11" style="1235"/>
    <col min="13057" max="13057" width="65.140625" style="1235" customWidth="1"/>
    <col min="13058" max="13062" width="17.7109375" style="1235" customWidth="1"/>
    <col min="13063" max="13063" width="19.42578125" style="1235" customWidth="1"/>
    <col min="13064" max="13067" width="17.7109375" style="1235" customWidth="1"/>
    <col min="13068" max="13312" width="11" style="1235"/>
    <col min="13313" max="13313" width="65.140625" style="1235" customWidth="1"/>
    <col min="13314" max="13318" width="17.7109375" style="1235" customWidth="1"/>
    <col min="13319" max="13319" width="19.42578125" style="1235" customWidth="1"/>
    <col min="13320" max="13323" width="17.7109375" style="1235" customWidth="1"/>
    <col min="13324" max="13568" width="11" style="1235"/>
    <col min="13569" max="13569" width="65.140625" style="1235" customWidth="1"/>
    <col min="13570" max="13574" width="17.7109375" style="1235" customWidth="1"/>
    <col min="13575" max="13575" width="19.42578125" style="1235" customWidth="1"/>
    <col min="13576" max="13579" width="17.7109375" style="1235" customWidth="1"/>
    <col min="13580" max="13824" width="11" style="1235"/>
    <col min="13825" max="13825" width="65.140625" style="1235" customWidth="1"/>
    <col min="13826" max="13830" width="17.7109375" style="1235" customWidth="1"/>
    <col min="13831" max="13831" width="19.42578125" style="1235" customWidth="1"/>
    <col min="13832" max="13835" width="17.7109375" style="1235" customWidth="1"/>
    <col min="13836" max="14080" width="11" style="1235"/>
    <col min="14081" max="14081" width="65.140625" style="1235" customWidth="1"/>
    <col min="14082" max="14086" width="17.7109375" style="1235" customWidth="1"/>
    <col min="14087" max="14087" width="19.42578125" style="1235" customWidth="1"/>
    <col min="14088" max="14091" width="17.7109375" style="1235" customWidth="1"/>
    <col min="14092" max="14336" width="11" style="1235"/>
    <col min="14337" max="14337" width="65.140625" style="1235" customWidth="1"/>
    <col min="14338" max="14342" width="17.7109375" style="1235" customWidth="1"/>
    <col min="14343" max="14343" width="19.42578125" style="1235" customWidth="1"/>
    <col min="14344" max="14347" width="17.7109375" style="1235" customWidth="1"/>
    <col min="14348" max="14592" width="11" style="1235"/>
    <col min="14593" max="14593" width="65.140625" style="1235" customWidth="1"/>
    <col min="14594" max="14598" width="17.7109375" style="1235" customWidth="1"/>
    <col min="14599" max="14599" width="19.42578125" style="1235" customWidth="1"/>
    <col min="14600" max="14603" width="17.7109375" style="1235" customWidth="1"/>
    <col min="14604" max="14848" width="11" style="1235"/>
    <col min="14849" max="14849" width="65.140625" style="1235" customWidth="1"/>
    <col min="14850" max="14854" width="17.7109375" style="1235" customWidth="1"/>
    <col min="14855" max="14855" width="19.42578125" style="1235" customWidth="1"/>
    <col min="14856" max="14859" width="17.7109375" style="1235" customWidth="1"/>
    <col min="14860" max="15104" width="11" style="1235"/>
    <col min="15105" max="15105" width="65.140625" style="1235" customWidth="1"/>
    <col min="15106" max="15110" width="17.7109375" style="1235" customWidth="1"/>
    <col min="15111" max="15111" width="19.42578125" style="1235" customWidth="1"/>
    <col min="15112" max="15115" width="17.7109375" style="1235" customWidth="1"/>
    <col min="15116" max="15360" width="11" style="1235"/>
    <col min="15361" max="15361" width="65.140625" style="1235" customWidth="1"/>
    <col min="15362" max="15366" width="17.7109375" style="1235" customWidth="1"/>
    <col min="15367" max="15367" width="19.42578125" style="1235" customWidth="1"/>
    <col min="15368" max="15371" width="17.7109375" style="1235" customWidth="1"/>
    <col min="15372" max="15616" width="11" style="1235"/>
    <col min="15617" max="15617" width="65.140625" style="1235" customWidth="1"/>
    <col min="15618" max="15622" width="17.7109375" style="1235" customWidth="1"/>
    <col min="15623" max="15623" width="19.42578125" style="1235" customWidth="1"/>
    <col min="15624" max="15627" width="17.7109375" style="1235" customWidth="1"/>
    <col min="15628" max="15872" width="11" style="1235"/>
    <col min="15873" max="15873" width="65.140625" style="1235" customWidth="1"/>
    <col min="15874" max="15878" width="17.7109375" style="1235" customWidth="1"/>
    <col min="15879" max="15879" width="19.42578125" style="1235" customWidth="1"/>
    <col min="15880" max="15883" width="17.7109375" style="1235" customWidth="1"/>
    <col min="15884" max="16128" width="11" style="1235"/>
    <col min="16129" max="16129" width="65.140625" style="1235" customWidth="1"/>
    <col min="16130" max="16134" width="17.7109375" style="1235" customWidth="1"/>
    <col min="16135" max="16135" width="19.42578125" style="1235" customWidth="1"/>
    <col min="16136" max="16139" width="17.7109375" style="1235" customWidth="1"/>
    <col min="16140" max="16384" width="11" style="1235"/>
  </cols>
  <sheetData>
    <row r="1" spans="1:11" s="1221" customFormat="1" ht="21" customHeight="1">
      <c r="A1" s="1322" t="s">
        <v>235</v>
      </c>
      <c r="B1" s="1323"/>
    </row>
    <row r="2" spans="1:11" s="1221" customFormat="1" ht="19.5" customHeight="1">
      <c r="A2" s="1227" t="s">
        <v>2447</v>
      </c>
      <c r="B2" s="1323"/>
      <c r="C2" s="1225"/>
      <c r="D2" s="1225"/>
      <c r="E2" s="1225"/>
      <c r="F2" s="1225"/>
      <c r="G2" s="1225"/>
      <c r="H2" s="1225"/>
      <c r="I2" s="1225"/>
      <c r="J2" s="1225"/>
      <c r="K2" s="1226" t="s">
        <v>234</v>
      </c>
    </row>
    <row r="3" spans="1:11" s="1221" customFormat="1" ht="22.5" customHeight="1">
      <c r="A3" s="1227" t="s">
        <v>2448</v>
      </c>
      <c r="B3" s="1323"/>
      <c r="C3" s="1225"/>
      <c r="D3" s="1225"/>
      <c r="E3" s="1225"/>
      <c r="F3" s="1225"/>
      <c r="G3" s="1225"/>
      <c r="H3" s="1225"/>
      <c r="I3" s="1225"/>
      <c r="J3" s="1225"/>
      <c r="K3" s="1225"/>
    </row>
    <row r="4" spans="1:11" s="1221" customFormat="1" ht="25.5" customHeight="1">
      <c r="A4" s="1322" t="s">
        <v>232</v>
      </c>
      <c r="B4" s="1323"/>
      <c r="C4" s="1225"/>
      <c r="D4" s="1225"/>
      <c r="E4" s="1225"/>
      <c r="F4" s="1225"/>
      <c r="G4" s="1225"/>
      <c r="H4" s="1225"/>
      <c r="I4" s="1225"/>
      <c r="J4" s="1225"/>
      <c r="K4" s="1225"/>
    </row>
    <row r="5" spans="1:11" s="1221" customFormat="1">
      <c r="A5" s="1224"/>
      <c r="B5" s="1323"/>
      <c r="C5" s="1225"/>
      <c r="D5" s="1225"/>
      <c r="E5" s="1225"/>
      <c r="F5" s="1225"/>
      <c r="G5" s="1225"/>
      <c r="H5" s="1225"/>
      <c r="I5" s="1225"/>
      <c r="J5" s="1225"/>
      <c r="K5" s="1225"/>
    </row>
    <row r="6" spans="1:11" s="1221" customFormat="1" ht="21.75" hidden="1" customHeight="1">
      <c r="A6" s="1324"/>
      <c r="B6" s="1325"/>
      <c r="C6" s="1325"/>
      <c r="D6" s="1325"/>
      <c r="E6" s="1225"/>
      <c r="F6" s="1225"/>
      <c r="G6" s="1225"/>
      <c r="H6" s="1225"/>
      <c r="I6" s="1225"/>
      <c r="J6" s="1225"/>
      <c r="K6" s="1225"/>
    </row>
    <row r="7" spans="1:11" s="1221" customFormat="1" ht="21.75" hidden="1" customHeight="1">
      <c r="A7" s="1225"/>
      <c r="B7" s="1225"/>
      <c r="C7" s="1225"/>
      <c r="D7" s="1225"/>
      <c r="E7" s="1225"/>
      <c r="F7" s="1225"/>
      <c r="G7" s="1225"/>
      <c r="H7" s="1225"/>
      <c r="I7" s="1225"/>
      <c r="J7" s="1225"/>
      <c r="K7" s="1225"/>
    </row>
    <row r="8" spans="1:11" s="1221" customFormat="1" ht="21.75" hidden="1" customHeight="1">
      <c r="A8" s="1326"/>
      <c r="B8" s="1327"/>
      <c r="C8" s="1328"/>
      <c r="D8" s="1328"/>
      <c r="E8" s="1328"/>
      <c r="F8" s="1328"/>
      <c r="G8" s="1225"/>
      <c r="H8" s="1225"/>
      <c r="I8" s="1225"/>
      <c r="J8" s="1225"/>
      <c r="K8" s="1225"/>
    </row>
    <row r="9" spans="1:11" s="1221" customFormat="1" ht="36.75" hidden="1" customHeight="1">
      <c r="A9" s="1510"/>
      <c r="B9" s="1510"/>
      <c r="C9" s="1510"/>
      <c r="D9" s="1510"/>
      <c r="E9" s="1510"/>
      <c r="F9" s="1510"/>
      <c r="G9" s="1225"/>
      <c r="H9" s="1225"/>
      <c r="I9" s="1225"/>
      <c r="J9" s="1225"/>
      <c r="K9" s="1225"/>
    </row>
    <row r="10" spans="1:11" s="1221" customFormat="1" ht="20.25" hidden="1" customHeight="1">
      <c r="A10" s="1326"/>
      <c r="B10" s="1329"/>
      <c r="C10" s="1329"/>
      <c r="D10" s="1329"/>
      <c r="E10" s="1329"/>
      <c r="F10" s="1329"/>
      <c r="G10" s="1225"/>
      <c r="H10" s="1225"/>
      <c r="I10" s="1225"/>
      <c r="J10" s="1225"/>
      <c r="K10" s="1225"/>
    </row>
    <row r="11" spans="1:11" s="1221" customFormat="1" ht="22.5" hidden="1" customHeight="1">
      <c r="A11" s="1326"/>
      <c r="B11" s="1330"/>
      <c r="C11" s="1330"/>
      <c r="D11" s="1330"/>
      <c r="E11" s="1330"/>
      <c r="F11" s="1330"/>
    </row>
    <row r="12" spans="1:11" s="1221" customFormat="1" ht="23.25" hidden="1" customHeight="1">
      <c r="A12" s="1326"/>
      <c r="B12" s="1330"/>
      <c r="C12" s="1330"/>
      <c r="D12" s="1331"/>
      <c r="E12" s="1511"/>
      <c r="F12" s="1511"/>
      <c r="G12" s="1332"/>
      <c r="H12" s="1512"/>
      <c r="I12" s="1512"/>
      <c r="K12" s="1333"/>
    </row>
    <row r="13" spans="1:11" s="1221" customFormat="1" ht="40.5" customHeight="1">
      <c r="A13" s="1510"/>
      <c r="B13" s="1510"/>
      <c r="C13" s="1510"/>
      <c r="D13" s="1510"/>
      <c r="E13" s="1510"/>
      <c r="F13" s="1510"/>
      <c r="G13" s="1332"/>
      <c r="H13" s="1333"/>
      <c r="I13" s="1333"/>
      <c r="K13" s="1333"/>
    </row>
    <row r="14" spans="1:11" s="1221" customFormat="1" ht="18.75" customHeight="1">
      <c r="A14" s="1332"/>
      <c r="D14" s="1333"/>
      <c r="E14" s="1333"/>
      <c r="F14" s="1333"/>
      <c r="G14" s="1332"/>
      <c r="H14" s="1333"/>
      <c r="I14" s="1333"/>
      <c r="K14" s="1333"/>
    </row>
    <row r="15" spans="1:11" s="1221" customFormat="1">
      <c r="A15" s="1228" t="s">
        <v>228</v>
      </c>
      <c r="B15" s="1228" t="s">
        <v>227</v>
      </c>
      <c r="C15" s="1228" t="s">
        <v>226</v>
      </c>
      <c r="D15" s="1228"/>
      <c r="E15" s="1229" t="s">
        <v>225</v>
      </c>
      <c r="F15" s="1229"/>
      <c r="G15" s="1228" t="s">
        <v>224</v>
      </c>
      <c r="H15" s="1505" t="s">
        <v>223</v>
      </c>
      <c r="I15" s="1505"/>
      <c r="J15" s="1228" t="s">
        <v>222</v>
      </c>
      <c r="K15" s="1228" t="s">
        <v>221</v>
      </c>
    </row>
    <row r="16" spans="1:11" s="1230" customFormat="1" ht="15" customHeight="1">
      <c r="A16" s="1513" t="s">
        <v>220</v>
      </c>
      <c r="B16" s="1508" t="s">
        <v>219</v>
      </c>
      <c r="C16" s="1508" t="s">
        <v>218</v>
      </c>
      <c r="D16" s="1508" t="s">
        <v>217</v>
      </c>
      <c r="E16" s="1508" t="s">
        <v>216</v>
      </c>
      <c r="F16" s="1508"/>
      <c r="G16" s="1508" t="s">
        <v>215</v>
      </c>
      <c r="H16" s="1508" t="s">
        <v>214</v>
      </c>
      <c r="I16" s="1508"/>
      <c r="J16" s="1508" t="s">
        <v>240</v>
      </c>
      <c r="K16" s="1509" t="s">
        <v>212</v>
      </c>
    </row>
    <row r="17" spans="1:11" s="1230" customFormat="1">
      <c r="A17" s="1513"/>
      <c r="B17" s="1508"/>
      <c r="C17" s="1508"/>
      <c r="D17" s="1508"/>
      <c r="E17" s="1334" t="s">
        <v>211</v>
      </c>
      <c r="F17" s="1334" t="s">
        <v>210</v>
      </c>
      <c r="G17" s="1508"/>
      <c r="H17" s="1334" t="s">
        <v>211</v>
      </c>
      <c r="I17" s="1334" t="s">
        <v>210</v>
      </c>
      <c r="J17" s="1508"/>
      <c r="K17" s="1509"/>
    </row>
    <row r="18" spans="1:11" ht="15.95" customHeight="1">
      <c r="A18" s="1335" t="s">
        <v>208</v>
      </c>
      <c r="B18" s="1336"/>
      <c r="C18" s="1336"/>
      <c r="D18" s="1336"/>
      <c r="E18" s="1336"/>
      <c r="F18" s="1336"/>
      <c r="G18" s="1336"/>
      <c r="H18" s="1336"/>
      <c r="I18" s="1336"/>
      <c r="J18" s="1336"/>
      <c r="K18" s="1337">
        <f>SUM(K19)</f>
        <v>0</v>
      </c>
    </row>
    <row r="19" spans="1:11" ht="19.5" customHeight="1">
      <c r="A19" s="1338"/>
      <c r="B19" s="1339"/>
      <c r="C19" s="1339"/>
      <c r="D19" s="1340"/>
      <c r="E19" s="1340"/>
      <c r="F19" s="1340"/>
      <c r="G19" s="1339"/>
      <c r="H19" s="1339"/>
      <c r="I19" s="1339"/>
      <c r="J19" s="1339"/>
      <c r="K19" s="1341"/>
    </row>
    <row r="20" spans="1:11" ht="15.95" customHeight="1">
      <c r="A20" s="1335" t="s">
        <v>207</v>
      </c>
      <c r="B20" s="1336"/>
      <c r="C20" s="1336"/>
      <c r="D20" s="1342"/>
      <c r="E20" s="1343"/>
      <c r="F20" s="1343"/>
      <c r="G20" s="1336"/>
      <c r="H20" s="1336"/>
      <c r="I20" s="1336"/>
      <c r="J20" s="1336"/>
      <c r="K20" s="1337">
        <f>SUM(K21:K30)</f>
        <v>264567550.67000002</v>
      </c>
    </row>
    <row r="21" spans="1:11" ht="15.95" customHeight="1">
      <c r="A21" s="1338" t="s">
        <v>2449</v>
      </c>
      <c r="B21" s="1339" t="s">
        <v>555</v>
      </c>
      <c r="C21" s="1339" t="s">
        <v>109</v>
      </c>
      <c r="D21" s="1344">
        <v>1.6500000000000001E-2</v>
      </c>
      <c r="E21" s="1345">
        <v>6.000000000000001E-3</v>
      </c>
      <c r="F21" s="1345">
        <v>6.6000000000000003E-2</v>
      </c>
      <c r="G21" s="1339"/>
      <c r="H21" s="1339"/>
      <c r="I21" s="1339"/>
      <c r="J21" s="1339" t="s">
        <v>2450</v>
      </c>
      <c r="K21" s="1341">
        <v>142769282.28999999</v>
      </c>
    </row>
    <row r="22" spans="1:11" ht="15.95" customHeight="1">
      <c r="A22" s="1338" t="s">
        <v>1136</v>
      </c>
      <c r="B22" s="1339" t="s">
        <v>2451</v>
      </c>
      <c r="C22" s="1339" t="s">
        <v>109</v>
      </c>
      <c r="D22" s="1340">
        <v>0.16</v>
      </c>
      <c r="E22" s="1340"/>
      <c r="F22" s="1346"/>
      <c r="G22" s="1339"/>
      <c r="H22" s="1339"/>
      <c r="I22" s="1339"/>
      <c r="J22" s="1339" t="s">
        <v>2452</v>
      </c>
      <c r="K22" s="1341">
        <v>61582803.020000003</v>
      </c>
    </row>
    <row r="23" spans="1:11" ht="15.95" customHeight="1">
      <c r="A23" s="1338" t="s">
        <v>1136</v>
      </c>
      <c r="B23" s="1339" t="s">
        <v>2451</v>
      </c>
      <c r="C23" s="1339" t="s">
        <v>109</v>
      </c>
      <c r="D23" s="1340">
        <v>8.6956000000000006E-2</v>
      </c>
      <c r="E23" s="1340"/>
      <c r="F23" s="1340"/>
      <c r="G23" s="1339"/>
      <c r="H23" s="1339"/>
      <c r="I23" s="1339"/>
      <c r="J23" s="1339" t="s">
        <v>2452</v>
      </c>
      <c r="K23" s="1341"/>
    </row>
    <row r="24" spans="1:11" ht="15.95" customHeight="1">
      <c r="A24" s="1338" t="s">
        <v>702</v>
      </c>
      <c r="B24" s="1339" t="s">
        <v>2453</v>
      </c>
      <c r="C24" s="1339" t="s">
        <v>283</v>
      </c>
      <c r="D24" s="1340"/>
      <c r="E24" s="1340"/>
      <c r="F24" s="1340"/>
      <c r="G24" s="1347"/>
      <c r="H24" s="1347">
        <v>2700</v>
      </c>
      <c r="I24" s="1347">
        <v>8940</v>
      </c>
      <c r="J24" s="1339" t="s">
        <v>2454</v>
      </c>
      <c r="K24" s="1341">
        <v>31608075.989999998</v>
      </c>
    </row>
    <row r="25" spans="1:11" ht="15.95" customHeight="1">
      <c r="A25" s="1338" t="s">
        <v>256</v>
      </c>
      <c r="B25" s="1339" t="s">
        <v>2455</v>
      </c>
      <c r="C25" s="1339" t="s">
        <v>283</v>
      </c>
      <c r="D25" s="1340"/>
      <c r="E25" s="1340"/>
      <c r="F25" s="1340"/>
      <c r="G25" s="1339"/>
      <c r="H25" s="1347">
        <v>125</v>
      </c>
      <c r="I25" s="1347">
        <v>450</v>
      </c>
      <c r="J25" s="1339" t="s">
        <v>2456</v>
      </c>
      <c r="K25" s="1341">
        <v>28607389.370000001</v>
      </c>
    </row>
    <row r="26" spans="1:11" ht="15.95" customHeight="1">
      <c r="A26" s="1338"/>
      <c r="B26" s="1339"/>
      <c r="C26" s="1339"/>
      <c r="D26" s="1340"/>
      <c r="E26" s="1340"/>
      <c r="F26" s="1340"/>
      <c r="G26" s="1339"/>
      <c r="H26" s="1339"/>
      <c r="I26" s="1339"/>
      <c r="J26" s="1339"/>
      <c r="K26" s="1341"/>
    </row>
    <row r="27" spans="1:11" ht="15.95" customHeight="1">
      <c r="A27" s="1338"/>
      <c r="B27" s="1339"/>
      <c r="C27" s="1339"/>
      <c r="D27" s="1340"/>
      <c r="E27" s="1340"/>
      <c r="F27" s="1340"/>
      <c r="G27" s="1339"/>
      <c r="H27" s="1339"/>
      <c r="I27" s="1339"/>
      <c r="J27" s="1339"/>
      <c r="K27" s="1341"/>
    </row>
    <row r="28" spans="1:11" ht="15.95" customHeight="1">
      <c r="A28" s="1338"/>
      <c r="B28" s="1339"/>
      <c r="C28" s="1339"/>
      <c r="D28" s="1340"/>
      <c r="E28" s="1340"/>
      <c r="F28" s="1340"/>
      <c r="G28" s="1339"/>
      <c r="H28" s="1339"/>
      <c r="I28" s="1339"/>
      <c r="J28" s="1339"/>
      <c r="K28" s="1341"/>
    </row>
    <row r="29" spans="1:11" ht="15.95" customHeight="1">
      <c r="A29" s="1338"/>
      <c r="B29" s="1339"/>
      <c r="C29" s="1339"/>
      <c r="D29" s="1340"/>
      <c r="E29" s="1340"/>
      <c r="F29" s="1340"/>
      <c r="G29" s="1339"/>
      <c r="H29" s="1339"/>
      <c r="I29" s="1339"/>
      <c r="J29" s="1339"/>
      <c r="K29" s="1341"/>
    </row>
    <row r="30" spans="1:11" ht="15.95" customHeight="1">
      <c r="A30" s="1338"/>
      <c r="B30" s="1339"/>
      <c r="C30" s="1339"/>
      <c r="D30" s="1340"/>
      <c r="E30" s="1340"/>
      <c r="F30" s="1340"/>
      <c r="G30" s="1339"/>
      <c r="H30" s="1339"/>
      <c r="I30" s="1339"/>
      <c r="J30" s="1339"/>
      <c r="K30" s="1341"/>
    </row>
    <row r="31" spans="1:11" s="1221" customFormat="1" ht="15.95" customHeight="1">
      <c r="A31" s="1348" t="s">
        <v>191</v>
      </c>
      <c r="B31" s="1349"/>
      <c r="C31" s="1349"/>
      <c r="D31" s="1350"/>
      <c r="E31" s="1350"/>
      <c r="F31" s="1350"/>
      <c r="G31" s="1349"/>
      <c r="H31" s="1349"/>
      <c r="I31" s="1349"/>
      <c r="J31" s="1349"/>
      <c r="K31" s="1351">
        <f>SUM(K32:K33)</f>
        <v>8769912.4499999993</v>
      </c>
    </row>
    <row r="32" spans="1:11" s="1221" customFormat="1" ht="15.95" customHeight="1">
      <c r="A32" s="1338" t="s">
        <v>2457</v>
      </c>
      <c r="B32" s="1352" t="s">
        <v>2458</v>
      </c>
      <c r="C32" s="1352" t="s">
        <v>2459</v>
      </c>
      <c r="D32" s="1353" t="s">
        <v>2460</v>
      </c>
      <c r="E32" s="1353"/>
      <c r="F32" s="1353"/>
      <c r="G32" s="1352"/>
      <c r="H32" s="1352"/>
      <c r="I32" s="1352"/>
      <c r="J32" s="1352"/>
      <c r="K32" s="1354">
        <v>8769912.4499999993</v>
      </c>
    </row>
    <row r="33" spans="1:11" s="1221" customFormat="1" ht="15.95" customHeight="1">
      <c r="A33" s="1338"/>
      <c r="B33" s="1352"/>
      <c r="C33" s="1352"/>
      <c r="D33" s="1353"/>
      <c r="E33" s="1353"/>
      <c r="F33" s="1353"/>
      <c r="G33" s="1352"/>
      <c r="H33" s="1352"/>
      <c r="I33" s="1352"/>
      <c r="J33" s="1352"/>
      <c r="K33" s="1354"/>
    </row>
    <row r="34" spans="1:11" ht="15.95" customHeight="1">
      <c r="A34" s="1335" t="s">
        <v>179</v>
      </c>
      <c r="B34" s="1336"/>
      <c r="C34" s="1336"/>
      <c r="D34" s="1342"/>
      <c r="E34" s="1342"/>
      <c r="F34" s="1342"/>
      <c r="G34" s="1336"/>
      <c r="H34" s="1336"/>
      <c r="I34" s="1336"/>
      <c r="J34" s="1336"/>
      <c r="K34" s="1337">
        <f>SUM(K35:K41)</f>
        <v>17066673.710000001</v>
      </c>
    </row>
    <row r="35" spans="1:11" ht="15.95" customHeight="1">
      <c r="A35" s="1338" t="s">
        <v>298</v>
      </c>
      <c r="B35" s="1339" t="s">
        <v>2461</v>
      </c>
      <c r="C35" s="1339" t="s">
        <v>1122</v>
      </c>
      <c r="D35" s="1340"/>
      <c r="E35" s="1346"/>
      <c r="F35" s="1346"/>
      <c r="G35" s="1347"/>
      <c r="H35" s="1347"/>
      <c r="I35" s="1347"/>
      <c r="J35" s="1339"/>
      <c r="K35" s="1341">
        <v>7075410.96</v>
      </c>
    </row>
    <row r="36" spans="1:11" ht="15.95" customHeight="1">
      <c r="A36" s="1338" t="s">
        <v>2462</v>
      </c>
      <c r="B36" s="1339" t="s">
        <v>2463</v>
      </c>
      <c r="C36" s="1355"/>
      <c r="D36" s="1344">
        <v>1.6500000000000001E-2</v>
      </c>
      <c r="E36" s="1346"/>
      <c r="F36" s="1346"/>
      <c r="G36" s="1347"/>
      <c r="H36" s="1347"/>
      <c r="I36" s="1347"/>
      <c r="J36" s="1339"/>
      <c r="K36" s="1341">
        <v>4080739.4</v>
      </c>
    </row>
    <row r="37" spans="1:11" ht="15.95" customHeight="1">
      <c r="A37" s="1338" t="s">
        <v>713</v>
      </c>
      <c r="B37" s="1339" t="s">
        <v>2461</v>
      </c>
      <c r="C37" s="1355" t="s">
        <v>109</v>
      </c>
      <c r="D37" s="1340">
        <v>0.1</v>
      </c>
      <c r="E37" s="1346"/>
      <c r="F37" s="1346"/>
      <c r="G37" s="1347"/>
      <c r="H37" s="1347"/>
      <c r="I37" s="1347"/>
      <c r="J37" s="1339"/>
      <c r="K37" s="1356"/>
    </row>
    <row r="38" spans="1:11" ht="15.95" customHeight="1">
      <c r="A38" s="1338"/>
      <c r="B38" s="1339"/>
      <c r="C38" s="1339"/>
      <c r="D38" s="1340"/>
      <c r="E38" s="1346"/>
      <c r="F38" s="1346"/>
      <c r="G38" s="1347"/>
      <c r="H38" s="1347"/>
      <c r="I38" s="1347"/>
      <c r="J38" s="1339"/>
      <c r="K38" s="1356"/>
    </row>
    <row r="39" spans="1:11" ht="15.95" customHeight="1">
      <c r="A39" s="1338" t="s">
        <v>2464</v>
      </c>
      <c r="B39" s="1339" t="s">
        <v>2461</v>
      </c>
      <c r="C39" s="1339"/>
      <c r="D39" s="1340"/>
      <c r="E39" s="1346"/>
      <c r="F39" s="1346"/>
      <c r="G39" s="1347"/>
      <c r="H39" s="1347"/>
      <c r="I39" s="1347"/>
      <c r="J39" s="1339"/>
      <c r="K39" s="1341">
        <v>5775273.3499999996</v>
      </c>
    </row>
    <row r="40" spans="1:11" ht="15.95" customHeight="1">
      <c r="A40" s="1338" t="s">
        <v>2465</v>
      </c>
      <c r="B40" s="1339" t="s">
        <v>2461</v>
      </c>
      <c r="C40" s="1339"/>
      <c r="D40" s="1340"/>
      <c r="E40" s="1346"/>
      <c r="F40" s="1346"/>
      <c r="G40" s="1347"/>
      <c r="H40" s="1269"/>
      <c r="I40" s="1347"/>
      <c r="J40" s="1339"/>
      <c r="K40" s="1341">
        <v>135250</v>
      </c>
    </row>
    <row r="41" spans="1:11" ht="15.95" customHeight="1">
      <c r="A41" s="1338"/>
      <c r="B41" s="1339"/>
      <c r="C41" s="1339"/>
      <c r="D41" s="1340"/>
      <c r="E41" s="1340"/>
      <c r="F41" s="1340"/>
      <c r="G41" s="1339"/>
      <c r="H41" s="1339"/>
      <c r="I41" s="1339"/>
      <c r="J41" s="1339"/>
      <c r="K41" s="1341"/>
    </row>
    <row r="42" spans="1:11" ht="15.95" customHeight="1">
      <c r="A42" s="1335" t="s">
        <v>152</v>
      </c>
      <c r="B42" s="1336"/>
      <c r="C42" s="1336"/>
      <c r="D42" s="1342"/>
      <c r="E42" s="1342"/>
      <c r="F42" s="1342"/>
      <c r="G42" s="1336"/>
      <c r="H42" s="1336"/>
      <c r="I42" s="1336"/>
      <c r="J42" s="1336"/>
      <c r="K42" s="1337">
        <f>SUM(K43:K45)</f>
        <v>649960</v>
      </c>
    </row>
    <row r="43" spans="1:11" ht="15.95" customHeight="1">
      <c r="A43" s="1357" t="s">
        <v>2466</v>
      </c>
      <c r="B43" s="1339" t="s">
        <v>2467</v>
      </c>
      <c r="C43" s="1339" t="s">
        <v>109</v>
      </c>
      <c r="D43" s="1340"/>
      <c r="E43" s="1340"/>
      <c r="F43" s="1340"/>
      <c r="G43" s="1339"/>
      <c r="H43" s="1339"/>
      <c r="I43" s="1339"/>
      <c r="J43" s="1339"/>
      <c r="K43" s="1341">
        <v>649960</v>
      </c>
    </row>
    <row r="44" spans="1:11" ht="15.95" customHeight="1">
      <c r="A44" s="1357"/>
      <c r="B44" s="1339"/>
      <c r="C44" s="1339"/>
      <c r="D44" s="1340"/>
      <c r="E44" s="1340"/>
      <c r="F44" s="1340"/>
      <c r="G44" s="1339"/>
      <c r="H44" s="1339"/>
      <c r="I44" s="1339"/>
      <c r="J44" s="1339"/>
      <c r="K44" s="1341"/>
    </row>
    <row r="45" spans="1:11" ht="15.95" customHeight="1">
      <c r="A45" s="1357"/>
      <c r="B45" s="1339"/>
      <c r="C45" s="1339"/>
      <c r="D45" s="1340"/>
      <c r="E45" s="1340"/>
      <c r="F45" s="1340"/>
      <c r="G45" s="1339"/>
      <c r="H45" s="1339"/>
      <c r="I45" s="1339"/>
      <c r="J45" s="1339"/>
      <c r="K45" s="1341"/>
    </row>
    <row r="46" spans="1:11" ht="15.95" customHeight="1">
      <c r="A46" s="1335" t="s">
        <v>151</v>
      </c>
      <c r="B46" s="1336"/>
      <c r="C46" s="1336"/>
      <c r="D46" s="1342"/>
      <c r="E46" s="1342"/>
      <c r="F46" s="1342"/>
      <c r="G46" s="1336"/>
      <c r="H46" s="1336"/>
      <c r="I46" s="1336"/>
      <c r="J46" s="1336"/>
      <c r="K46" s="1337">
        <f>SUM(K47:K49)</f>
        <v>485896.14</v>
      </c>
    </row>
    <row r="47" spans="1:11" ht="15.95" customHeight="1">
      <c r="A47" s="1357" t="s">
        <v>683</v>
      </c>
      <c r="B47" s="1339" t="s">
        <v>2468</v>
      </c>
      <c r="C47" s="1339" t="s">
        <v>109</v>
      </c>
      <c r="D47" s="1340" t="s">
        <v>2468</v>
      </c>
      <c r="E47" s="1340"/>
      <c r="F47" s="1340"/>
      <c r="G47" s="1339"/>
      <c r="H47" s="1339" t="s">
        <v>2469</v>
      </c>
      <c r="I47" s="1339"/>
      <c r="J47" s="1339"/>
      <c r="K47" s="1341">
        <v>485896.14</v>
      </c>
    </row>
    <row r="48" spans="1:11" ht="15.95" customHeight="1">
      <c r="A48" s="1357"/>
      <c r="B48" s="1339"/>
      <c r="C48" s="1339"/>
      <c r="D48" s="1340"/>
      <c r="E48" s="1340"/>
      <c r="F48" s="1340"/>
      <c r="G48" s="1339"/>
      <c r="H48" s="1339"/>
      <c r="I48" s="1339"/>
      <c r="J48" s="1339"/>
      <c r="K48" s="1341"/>
    </row>
    <row r="49" spans="1:11" ht="15.95" customHeight="1">
      <c r="A49" s="1357"/>
      <c r="B49" s="1339"/>
      <c r="C49" s="1339"/>
      <c r="D49" s="1340"/>
      <c r="E49" s="1340"/>
      <c r="F49" s="1340"/>
      <c r="G49" s="1339"/>
      <c r="H49" s="1339"/>
      <c r="I49" s="1339"/>
      <c r="J49" s="1339"/>
      <c r="K49" s="1341"/>
    </row>
    <row r="50" spans="1:11" s="1221" customFormat="1" ht="15.95" customHeight="1">
      <c r="A50" s="1348" t="s">
        <v>137</v>
      </c>
      <c r="B50" s="1349"/>
      <c r="C50" s="1349"/>
      <c r="D50" s="1350"/>
      <c r="E50" s="1350"/>
      <c r="F50" s="1350"/>
      <c r="G50" s="1349"/>
      <c r="H50" s="1349"/>
      <c r="I50" s="1349"/>
      <c r="J50" s="1349"/>
      <c r="K50" s="1351">
        <f>SUM(K51)</f>
        <v>0</v>
      </c>
    </row>
    <row r="51" spans="1:11" s="1221" customFormat="1" ht="15.95" customHeight="1">
      <c r="A51" s="1358"/>
      <c r="B51" s="1352"/>
      <c r="C51" s="1352"/>
      <c r="D51" s="1353"/>
      <c r="E51" s="1353"/>
      <c r="F51" s="1353"/>
      <c r="G51" s="1352"/>
      <c r="H51" s="1352"/>
      <c r="I51" s="1352"/>
      <c r="J51" s="1352"/>
      <c r="K51" s="1354"/>
    </row>
    <row r="52" spans="1:11" ht="15.95" customHeight="1">
      <c r="A52" s="1335" t="s">
        <v>136</v>
      </c>
      <c r="B52" s="1336"/>
      <c r="C52" s="1336"/>
      <c r="D52" s="1342"/>
      <c r="E52" s="1342"/>
      <c r="F52" s="1342"/>
      <c r="G52" s="1336"/>
      <c r="H52" s="1336"/>
      <c r="I52" s="1336"/>
      <c r="J52" s="1336"/>
      <c r="K52" s="1337">
        <f>SUM(K53)</f>
        <v>66457450.729999997</v>
      </c>
    </row>
    <row r="53" spans="1:11" ht="15.95" customHeight="1">
      <c r="A53" s="1357" t="s">
        <v>2470</v>
      </c>
      <c r="B53" s="1339" t="s">
        <v>2471</v>
      </c>
      <c r="C53" s="1339" t="s">
        <v>109</v>
      </c>
      <c r="D53" s="1340"/>
      <c r="E53" s="1340"/>
      <c r="F53" s="1340"/>
      <c r="G53" s="1339"/>
      <c r="H53" s="1339"/>
      <c r="I53" s="1339"/>
      <c r="J53" s="1339"/>
      <c r="K53" s="1341">
        <v>66457450.729999997</v>
      </c>
    </row>
    <row r="54" spans="1:11" ht="15.95" customHeight="1">
      <c r="A54" s="1359" t="s">
        <v>108</v>
      </c>
      <c r="B54" s="1360"/>
      <c r="C54" s="1360"/>
      <c r="D54" s="1361"/>
      <c r="E54" s="1361"/>
      <c r="F54" s="1361"/>
      <c r="G54" s="1360"/>
      <c r="H54" s="1360"/>
      <c r="I54" s="1360"/>
      <c r="J54" s="1360"/>
      <c r="K54" s="1362">
        <f>+K18+K20+K31+K34+K42+K46+K50+K52</f>
        <v>357997443.69999999</v>
      </c>
    </row>
    <row r="55" spans="1:11">
      <c r="A55" s="1363"/>
      <c r="B55" s="1328"/>
      <c r="C55" s="1328"/>
      <c r="D55" s="1328"/>
      <c r="E55" s="1328"/>
      <c r="F55" s="1328"/>
      <c r="G55" s="1328"/>
      <c r="H55" s="1328"/>
      <c r="I55" s="1328"/>
      <c r="J55" s="1328"/>
      <c r="K55" s="1328"/>
    </row>
    <row r="56" spans="1:11" ht="15.75">
      <c r="A56" s="1364"/>
    </row>
    <row r="57" spans="1:11" ht="17.25">
      <c r="A57" s="1365"/>
    </row>
    <row r="58" spans="1:11" ht="17.25">
      <c r="A58" s="1365"/>
    </row>
    <row r="59" spans="1:11" ht="17.25">
      <c r="A59" s="1365"/>
    </row>
    <row r="60" spans="1:11" ht="17.25">
      <c r="A60" s="1365"/>
    </row>
  </sheetData>
  <sheetProtection selectLockedCells="1" selectUnlockedCells="1"/>
  <mergeCells count="14">
    <mergeCell ref="G16:G17"/>
    <mergeCell ref="H16:I16"/>
    <mergeCell ref="J16:J17"/>
    <mergeCell ref="K16:K17"/>
    <mergeCell ref="A9:F9"/>
    <mergeCell ref="E12:F12"/>
    <mergeCell ref="H12:I12"/>
    <mergeCell ref="A13:F13"/>
    <mergeCell ref="H15:I15"/>
    <mergeCell ref="A16:A17"/>
    <mergeCell ref="B16:B17"/>
    <mergeCell ref="C16:C17"/>
    <mergeCell ref="D16:D17"/>
    <mergeCell ref="E16:F16"/>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K50"/>
  <sheetViews>
    <sheetView showGridLines="0" zoomScaleNormal="100" workbookViewId="0">
      <pane xSplit="1" topLeftCell="B1" activePane="topRight" state="frozen"/>
      <selection pane="topRight"/>
    </sheetView>
  </sheetViews>
  <sheetFormatPr baseColWidth="10" defaultRowHeight="15"/>
  <cols>
    <col min="1" max="1" width="67.7109375" bestFit="1" customWidth="1"/>
    <col min="2" max="2" width="29.85546875" bestFit="1" customWidth="1"/>
    <col min="3" max="6" width="17.7109375" customWidth="1"/>
    <col min="7" max="7" width="19.42578125" customWidth="1"/>
    <col min="8" max="9" width="17.7109375" customWidth="1"/>
    <col min="10" max="10" width="70.28515625" bestFit="1" customWidth="1"/>
    <col min="11" max="11" width="17.7109375" customWidth="1"/>
    <col min="257" max="257" width="67.7109375" bestFit="1" customWidth="1"/>
    <col min="258" max="258" width="29.85546875" bestFit="1" customWidth="1"/>
    <col min="259" max="262" width="17.7109375" customWidth="1"/>
    <col min="263" max="263" width="19.42578125" customWidth="1"/>
    <col min="264" max="265" width="17.7109375" customWidth="1"/>
    <col min="266" max="266" width="70.28515625" bestFit="1" customWidth="1"/>
    <col min="267" max="267" width="17.7109375" customWidth="1"/>
    <col min="513" max="513" width="67.7109375" bestFit="1" customWidth="1"/>
    <col min="514" max="514" width="29.85546875" bestFit="1" customWidth="1"/>
    <col min="515" max="518" width="17.7109375" customWidth="1"/>
    <col min="519" max="519" width="19.42578125" customWidth="1"/>
    <col min="520" max="521" width="17.7109375" customWidth="1"/>
    <col min="522" max="522" width="70.28515625" bestFit="1" customWidth="1"/>
    <col min="523" max="523" width="17.7109375" customWidth="1"/>
    <col min="769" max="769" width="67.7109375" bestFit="1" customWidth="1"/>
    <col min="770" max="770" width="29.85546875" bestFit="1" customWidth="1"/>
    <col min="771" max="774" width="17.7109375" customWidth="1"/>
    <col min="775" max="775" width="19.42578125" customWidth="1"/>
    <col min="776" max="777" width="17.7109375" customWidth="1"/>
    <col min="778" max="778" width="70.28515625" bestFit="1" customWidth="1"/>
    <col min="779" max="779" width="17.7109375" customWidth="1"/>
    <col min="1025" max="1025" width="67.7109375" bestFit="1" customWidth="1"/>
    <col min="1026" max="1026" width="29.85546875" bestFit="1" customWidth="1"/>
    <col min="1027" max="1030" width="17.7109375" customWidth="1"/>
    <col min="1031" max="1031" width="19.42578125" customWidth="1"/>
    <col min="1032" max="1033" width="17.7109375" customWidth="1"/>
    <col min="1034" max="1034" width="70.28515625" bestFit="1" customWidth="1"/>
    <col min="1035" max="1035" width="17.7109375" customWidth="1"/>
    <col min="1281" max="1281" width="67.7109375" bestFit="1" customWidth="1"/>
    <col min="1282" max="1282" width="29.85546875" bestFit="1" customWidth="1"/>
    <col min="1283" max="1286" width="17.7109375" customWidth="1"/>
    <col min="1287" max="1287" width="19.42578125" customWidth="1"/>
    <col min="1288" max="1289" width="17.7109375" customWidth="1"/>
    <col min="1290" max="1290" width="70.28515625" bestFit="1" customWidth="1"/>
    <col min="1291" max="1291" width="17.7109375" customWidth="1"/>
    <col min="1537" max="1537" width="67.7109375" bestFit="1" customWidth="1"/>
    <col min="1538" max="1538" width="29.85546875" bestFit="1" customWidth="1"/>
    <col min="1539" max="1542" width="17.7109375" customWidth="1"/>
    <col min="1543" max="1543" width="19.42578125" customWidth="1"/>
    <col min="1544" max="1545" width="17.7109375" customWidth="1"/>
    <col min="1546" max="1546" width="70.28515625" bestFit="1" customWidth="1"/>
    <col min="1547" max="1547" width="17.7109375" customWidth="1"/>
    <col min="1793" max="1793" width="67.7109375" bestFit="1" customWidth="1"/>
    <col min="1794" max="1794" width="29.85546875" bestFit="1" customWidth="1"/>
    <col min="1795" max="1798" width="17.7109375" customWidth="1"/>
    <col min="1799" max="1799" width="19.42578125" customWidth="1"/>
    <col min="1800" max="1801" width="17.7109375" customWidth="1"/>
    <col min="1802" max="1802" width="70.28515625" bestFit="1" customWidth="1"/>
    <col min="1803" max="1803" width="17.7109375" customWidth="1"/>
    <col min="2049" max="2049" width="67.7109375" bestFit="1" customWidth="1"/>
    <col min="2050" max="2050" width="29.85546875" bestFit="1" customWidth="1"/>
    <col min="2051" max="2054" width="17.7109375" customWidth="1"/>
    <col min="2055" max="2055" width="19.42578125" customWidth="1"/>
    <col min="2056" max="2057" width="17.7109375" customWidth="1"/>
    <col min="2058" max="2058" width="70.28515625" bestFit="1" customWidth="1"/>
    <col min="2059" max="2059" width="17.7109375" customWidth="1"/>
    <col min="2305" max="2305" width="67.7109375" bestFit="1" customWidth="1"/>
    <col min="2306" max="2306" width="29.85546875" bestFit="1" customWidth="1"/>
    <col min="2307" max="2310" width="17.7109375" customWidth="1"/>
    <col min="2311" max="2311" width="19.42578125" customWidth="1"/>
    <col min="2312" max="2313" width="17.7109375" customWidth="1"/>
    <col min="2314" max="2314" width="70.28515625" bestFit="1" customWidth="1"/>
    <col min="2315" max="2315" width="17.7109375" customWidth="1"/>
    <col min="2561" max="2561" width="67.7109375" bestFit="1" customWidth="1"/>
    <col min="2562" max="2562" width="29.85546875" bestFit="1" customWidth="1"/>
    <col min="2563" max="2566" width="17.7109375" customWidth="1"/>
    <col min="2567" max="2567" width="19.42578125" customWidth="1"/>
    <col min="2568" max="2569" width="17.7109375" customWidth="1"/>
    <col min="2570" max="2570" width="70.28515625" bestFit="1" customWidth="1"/>
    <col min="2571" max="2571" width="17.7109375" customWidth="1"/>
    <col min="2817" max="2817" width="67.7109375" bestFit="1" customWidth="1"/>
    <col min="2818" max="2818" width="29.85546875" bestFit="1" customWidth="1"/>
    <col min="2819" max="2822" width="17.7109375" customWidth="1"/>
    <col min="2823" max="2823" width="19.42578125" customWidth="1"/>
    <col min="2824" max="2825" width="17.7109375" customWidth="1"/>
    <col min="2826" max="2826" width="70.28515625" bestFit="1" customWidth="1"/>
    <col min="2827" max="2827" width="17.7109375" customWidth="1"/>
    <col min="3073" max="3073" width="67.7109375" bestFit="1" customWidth="1"/>
    <col min="3074" max="3074" width="29.85546875" bestFit="1" customWidth="1"/>
    <col min="3075" max="3078" width="17.7109375" customWidth="1"/>
    <col min="3079" max="3079" width="19.42578125" customWidth="1"/>
    <col min="3080" max="3081" width="17.7109375" customWidth="1"/>
    <col min="3082" max="3082" width="70.28515625" bestFit="1" customWidth="1"/>
    <col min="3083" max="3083" width="17.7109375" customWidth="1"/>
    <col min="3329" max="3329" width="67.7109375" bestFit="1" customWidth="1"/>
    <col min="3330" max="3330" width="29.85546875" bestFit="1" customWidth="1"/>
    <col min="3331" max="3334" width="17.7109375" customWidth="1"/>
    <col min="3335" max="3335" width="19.42578125" customWidth="1"/>
    <col min="3336" max="3337" width="17.7109375" customWidth="1"/>
    <col min="3338" max="3338" width="70.28515625" bestFit="1" customWidth="1"/>
    <col min="3339" max="3339" width="17.7109375" customWidth="1"/>
    <col min="3585" max="3585" width="67.7109375" bestFit="1" customWidth="1"/>
    <col min="3586" max="3586" width="29.85546875" bestFit="1" customWidth="1"/>
    <col min="3587" max="3590" width="17.7109375" customWidth="1"/>
    <col min="3591" max="3591" width="19.42578125" customWidth="1"/>
    <col min="3592" max="3593" width="17.7109375" customWidth="1"/>
    <col min="3594" max="3594" width="70.28515625" bestFit="1" customWidth="1"/>
    <col min="3595" max="3595" width="17.7109375" customWidth="1"/>
    <col min="3841" max="3841" width="67.7109375" bestFit="1" customWidth="1"/>
    <col min="3842" max="3842" width="29.85546875" bestFit="1" customWidth="1"/>
    <col min="3843" max="3846" width="17.7109375" customWidth="1"/>
    <col min="3847" max="3847" width="19.42578125" customWidth="1"/>
    <col min="3848" max="3849" width="17.7109375" customWidth="1"/>
    <col min="3850" max="3850" width="70.28515625" bestFit="1" customWidth="1"/>
    <col min="3851" max="3851" width="17.7109375" customWidth="1"/>
    <col min="4097" max="4097" width="67.7109375" bestFit="1" customWidth="1"/>
    <col min="4098" max="4098" width="29.85546875" bestFit="1" customWidth="1"/>
    <col min="4099" max="4102" width="17.7109375" customWidth="1"/>
    <col min="4103" max="4103" width="19.42578125" customWidth="1"/>
    <col min="4104" max="4105" width="17.7109375" customWidth="1"/>
    <col min="4106" max="4106" width="70.28515625" bestFit="1" customWidth="1"/>
    <col min="4107" max="4107" width="17.7109375" customWidth="1"/>
    <col min="4353" max="4353" width="67.7109375" bestFit="1" customWidth="1"/>
    <col min="4354" max="4354" width="29.85546875" bestFit="1" customWidth="1"/>
    <col min="4355" max="4358" width="17.7109375" customWidth="1"/>
    <col min="4359" max="4359" width="19.42578125" customWidth="1"/>
    <col min="4360" max="4361" width="17.7109375" customWidth="1"/>
    <col min="4362" max="4362" width="70.28515625" bestFit="1" customWidth="1"/>
    <col min="4363" max="4363" width="17.7109375" customWidth="1"/>
    <col min="4609" max="4609" width="67.7109375" bestFit="1" customWidth="1"/>
    <col min="4610" max="4610" width="29.85546875" bestFit="1" customWidth="1"/>
    <col min="4611" max="4614" width="17.7109375" customWidth="1"/>
    <col min="4615" max="4615" width="19.42578125" customWidth="1"/>
    <col min="4616" max="4617" width="17.7109375" customWidth="1"/>
    <col min="4618" max="4618" width="70.28515625" bestFit="1" customWidth="1"/>
    <col min="4619" max="4619" width="17.7109375" customWidth="1"/>
    <col min="4865" max="4865" width="67.7109375" bestFit="1" customWidth="1"/>
    <col min="4866" max="4866" width="29.85546875" bestFit="1" customWidth="1"/>
    <col min="4867" max="4870" width="17.7109375" customWidth="1"/>
    <col min="4871" max="4871" width="19.42578125" customWidth="1"/>
    <col min="4872" max="4873" width="17.7109375" customWidth="1"/>
    <col min="4874" max="4874" width="70.28515625" bestFit="1" customWidth="1"/>
    <col min="4875" max="4875" width="17.7109375" customWidth="1"/>
    <col min="5121" max="5121" width="67.7109375" bestFit="1" customWidth="1"/>
    <col min="5122" max="5122" width="29.85546875" bestFit="1" customWidth="1"/>
    <col min="5123" max="5126" width="17.7109375" customWidth="1"/>
    <col min="5127" max="5127" width="19.42578125" customWidth="1"/>
    <col min="5128" max="5129" width="17.7109375" customWidth="1"/>
    <col min="5130" max="5130" width="70.28515625" bestFit="1" customWidth="1"/>
    <col min="5131" max="5131" width="17.7109375" customWidth="1"/>
    <col min="5377" max="5377" width="67.7109375" bestFit="1" customWidth="1"/>
    <col min="5378" max="5378" width="29.85546875" bestFit="1" customWidth="1"/>
    <col min="5379" max="5382" width="17.7109375" customWidth="1"/>
    <col min="5383" max="5383" width="19.42578125" customWidth="1"/>
    <col min="5384" max="5385" width="17.7109375" customWidth="1"/>
    <col min="5386" max="5386" width="70.28515625" bestFit="1" customWidth="1"/>
    <col min="5387" max="5387" width="17.7109375" customWidth="1"/>
    <col min="5633" max="5633" width="67.7109375" bestFit="1" customWidth="1"/>
    <col min="5634" max="5634" width="29.85546875" bestFit="1" customWidth="1"/>
    <col min="5635" max="5638" width="17.7109375" customWidth="1"/>
    <col min="5639" max="5639" width="19.42578125" customWidth="1"/>
    <col min="5640" max="5641" width="17.7109375" customWidth="1"/>
    <col min="5642" max="5642" width="70.28515625" bestFit="1" customWidth="1"/>
    <col min="5643" max="5643" width="17.7109375" customWidth="1"/>
    <col min="5889" max="5889" width="67.7109375" bestFit="1" customWidth="1"/>
    <col min="5890" max="5890" width="29.85546875" bestFit="1" customWidth="1"/>
    <col min="5891" max="5894" width="17.7109375" customWidth="1"/>
    <col min="5895" max="5895" width="19.42578125" customWidth="1"/>
    <col min="5896" max="5897" width="17.7109375" customWidth="1"/>
    <col min="5898" max="5898" width="70.28515625" bestFit="1" customWidth="1"/>
    <col min="5899" max="5899" width="17.7109375" customWidth="1"/>
    <col min="6145" max="6145" width="67.7109375" bestFit="1" customWidth="1"/>
    <col min="6146" max="6146" width="29.85546875" bestFit="1" customWidth="1"/>
    <col min="6147" max="6150" width="17.7109375" customWidth="1"/>
    <col min="6151" max="6151" width="19.42578125" customWidth="1"/>
    <col min="6152" max="6153" width="17.7109375" customWidth="1"/>
    <col min="6154" max="6154" width="70.28515625" bestFit="1" customWidth="1"/>
    <col min="6155" max="6155" width="17.7109375" customWidth="1"/>
    <col min="6401" max="6401" width="67.7109375" bestFit="1" customWidth="1"/>
    <col min="6402" max="6402" width="29.85546875" bestFit="1" customWidth="1"/>
    <col min="6403" max="6406" width="17.7109375" customWidth="1"/>
    <col min="6407" max="6407" width="19.42578125" customWidth="1"/>
    <col min="6408" max="6409" width="17.7109375" customWidth="1"/>
    <col min="6410" max="6410" width="70.28515625" bestFit="1" customWidth="1"/>
    <col min="6411" max="6411" width="17.7109375" customWidth="1"/>
    <col min="6657" max="6657" width="67.7109375" bestFit="1" customWidth="1"/>
    <col min="6658" max="6658" width="29.85546875" bestFit="1" customWidth="1"/>
    <col min="6659" max="6662" width="17.7109375" customWidth="1"/>
    <col min="6663" max="6663" width="19.42578125" customWidth="1"/>
    <col min="6664" max="6665" width="17.7109375" customWidth="1"/>
    <col min="6666" max="6666" width="70.28515625" bestFit="1" customWidth="1"/>
    <col min="6667" max="6667" width="17.7109375" customWidth="1"/>
    <col min="6913" max="6913" width="67.7109375" bestFit="1" customWidth="1"/>
    <col min="6914" max="6914" width="29.85546875" bestFit="1" customWidth="1"/>
    <col min="6915" max="6918" width="17.7109375" customWidth="1"/>
    <col min="6919" max="6919" width="19.42578125" customWidth="1"/>
    <col min="6920" max="6921" width="17.7109375" customWidth="1"/>
    <col min="6922" max="6922" width="70.28515625" bestFit="1" customWidth="1"/>
    <col min="6923" max="6923" width="17.7109375" customWidth="1"/>
    <col min="7169" max="7169" width="67.7109375" bestFit="1" customWidth="1"/>
    <col min="7170" max="7170" width="29.85546875" bestFit="1" customWidth="1"/>
    <col min="7171" max="7174" width="17.7109375" customWidth="1"/>
    <col min="7175" max="7175" width="19.42578125" customWidth="1"/>
    <col min="7176" max="7177" width="17.7109375" customWidth="1"/>
    <col min="7178" max="7178" width="70.28515625" bestFit="1" customWidth="1"/>
    <col min="7179" max="7179" width="17.7109375" customWidth="1"/>
    <col min="7425" max="7425" width="67.7109375" bestFit="1" customWidth="1"/>
    <col min="7426" max="7426" width="29.85546875" bestFit="1" customWidth="1"/>
    <col min="7427" max="7430" width="17.7109375" customWidth="1"/>
    <col min="7431" max="7431" width="19.42578125" customWidth="1"/>
    <col min="7432" max="7433" width="17.7109375" customWidth="1"/>
    <col min="7434" max="7434" width="70.28515625" bestFit="1" customWidth="1"/>
    <col min="7435" max="7435" width="17.7109375" customWidth="1"/>
    <col min="7681" max="7681" width="67.7109375" bestFit="1" customWidth="1"/>
    <col min="7682" max="7682" width="29.85546875" bestFit="1" customWidth="1"/>
    <col min="7683" max="7686" width="17.7109375" customWidth="1"/>
    <col min="7687" max="7687" width="19.42578125" customWidth="1"/>
    <col min="7688" max="7689" width="17.7109375" customWidth="1"/>
    <col min="7690" max="7690" width="70.28515625" bestFit="1" customWidth="1"/>
    <col min="7691" max="7691" width="17.7109375" customWidth="1"/>
    <col min="7937" max="7937" width="67.7109375" bestFit="1" customWidth="1"/>
    <col min="7938" max="7938" width="29.85546875" bestFit="1" customWidth="1"/>
    <col min="7939" max="7942" width="17.7109375" customWidth="1"/>
    <col min="7943" max="7943" width="19.42578125" customWidth="1"/>
    <col min="7944" max="7945" width="17.7109375" customWidth="1"/>
    <col min="7946" max="7946" width="70.28515625" bestFit="1" customWidth="1"/>
    <col min="7947" max="7947" width="17.7109375" customWidth="1"/>
    <col min="8193" max="8193" width="67.7109375" bestFit="1" customWidth="1"/>
    <col min="8194" max="8194" width="29.85546875" bestFit="1" customWidth="1"/>
    <col min="8195" max="8198" width="17.7109375" customWidth="1"/>
    <col min="8199" max="8199" width="19.42578125" customWidth="1"/>
    <col min="8200" max="8201" width="17.7109375" customWidth="1"/>
    <col min="8202" max="8202" width="70.28515625" bestFit="1" customWidth="1"/>
    <col min="8203" max="8203" width="17.7109375" customWidth="1"/>
    <col min="8449" max="8449" width="67.7109375" bestFit="1" customWidth="1"/>
    <col min="8450" max="8450" width="29.85546875" bestFit="1" customWidth="1"/>
    <col min="8451" max="8454" width="17.7109375" customWidth="1"/>
    <col min="8455" max="8455" width="19.42578125" customWidth="1"/>
    <col min="8456" max="8457" width="17.7109375" customWidth="1"/>
    <col min="8458" max="8458" width="70.28515625" bestFit="1" customWidth="1"/>
    <col min="8459" max="8459" width="17.7109375" customWidth="1"/>
    <col min="8705" max="8705" width="67.7109375" bestFit="1" customWidth="1"/>
    <col min="8706" max="8706" width="29.85546875" bestFit="1" customWidth="1"/>
    <col min="8707" max="8710" width="17.7109375" customWidth="1"/>
    <col min="8711" max="8711" width="19.42578125" customWidth="1"/>
    <col min="8712" max="8713" width="17.7109375" customWidth="1"/>
    <col min="8714" max="8714" width="70.28515625" bestFit="1" customWidth="1"/>
    <col min="8715" max="8715" width="17.7109375" customWidth="1"/>
    <col min="8961" max="8961" width="67.7109375" bestFit="1" customWidth="1"/>
    <col min="8962" max="8962" width="29.85546875" bestFit="1" customWidth="1"/>
    <col min="8963" max="8966" width="17.7109375" customWidth="1"/>
    <col min="8967" max="8967" width="19.42578125" customWidth="1"/>
    <col min="8968" max="8969" width="17.7109375" customWidth="1"/>
    <col min="8970" max="8970" width="70.28515625" bestFit="1" customWidth="1"/>
    <col min="8971" max="8971" width="17.7109375" customWidth="1"/>
    <col min="9217" max="9217" width="67.7109375" bestFit="1" customWidth="1"/>
    <col min="9218" max="9218" width="29.85546875" bestFit="1" customWidth="1"/>
    <col min="9219" max="9222" width="17.7109375" customWidth="1"/>
    <col min="9223" max="9223" width="19.42578125" customWidth="1"/>
    <col min="9224" max="9225" width="17.7109375" customWidth="1"/>
    <col min="9226" max="9226" width="70.28515625" bestFit="1" customWidth="1"/>
    <col min="9227" max="9227" width="17.7109375" customWidth="1"/>
    <col min="9473" max="9473" width="67.7109375" bestFit="1" customWidth="1"/>
    <col min="9474" max="9474" width="29.85546875" bestFit="1" customWidth="1"/>
    <col min="9475" max="9478" width="17.7109375" customWidth="1"/>
    <col min="9479" max="9479" width="19.42578125" customWidth="1"/>
    <col min="9480" max="9481" width="17.7109375" customWidth="1"/>
    <col min="9482" max="9482" width="70.28515625" bestFit="1" customWidth="1"/>
    <col min="9483" max="9483" width="17.7109375" customWidth="1"/>
    <col min="9729" max="9729" width="67.7109375" bestFit="1" customWidth="1"/>
    <col min="9730" max="9730" width="29.85546875" bestFit="1" customWidth="1"/>
    <col min="9731" max="9734" width="17.7109375" customWidth="1"/>
    <col min="9735" max="9735" width="19.42578125" customWidth="1"/>
    <col min="9736" max="9737" width="17.7109375" customWidth="1"/>
    <col min="9738" max="9738" width="70.28515625" bestFit="1" customWidth="1"/>
    <col min="9739" max="9739" width="17.7109375" customWidth="1"/>
    <col min="9985" max="9985" width="67.7109375" bestFit="1" customWidth="1"/>
    <col min="9986" max="9986" width="29.85546875" bestFit="1" customWidth="1"/>
    <col min="9987" max="9990" width="17.7109375" customWidth="1"/>
    <col min="9991" max="9991" width="19.42578125" customWidth="1"/>
    <col min="9992" max="9993" width="17.7109375" customWidth="1"/>
    <col min="9994" max="9994" width="70.28515625" bestFit="1" customWidth="1"/>
    <col min="9995" max="9995" width="17.7109375" customWidth="1"/>
    <col min="10241" max="10241" width="67.7109375" bestFit="1" customWidth="1"/>
    <col min="10242" max="10242" width="29.85546875" bestFit="1" customWidth="1"/>
    <col min="10243" max="10246" width="17.7109375" customWidth="1"/>
    <col min="10247" max="10247" width="19.42578125" customWidth="1"/>
    <col min="10248" max="10249" width="17.7109375" customWidth="1"/>
    <col min="10250" max="10250" width="70.28515625" bestFit="1" customWidth="1"/>
    <col min="10251" max="10251" width="17.7109375" customWidth="1"/>
    <col min="10497" max="10497" width="67.7109375" bestFit="1" customWidth="1"/>
    <col min="10498" max="10498" width="29.85546875" bestFit="1" customWidth="1"/>
    <col min="10499" max="10502" width="17.7109375" customWidth="1"/>
    <col min="10503" max="10503" width="19.42578125" customWidth="1"/>
    <col min="10504" max="10505" width="17.7109375" customWidth="1"/>
    <col min="10506" max="10506" width="70.28515625" bestFit="1" customWidth="1"/>
    <col min="10507" max="10507" width="17.7109375" customWidth="1"/>
    <col min="10753" max="10753" width="67.7109375" bestFit="1" customWidth="1"/>
    <col min="10754" max="10754" width="29.85546875" bestFit="1" customWidth="1"/>
    <col min="10755" max="10758" width="17.7109375" customWidth="1"/>
    <col min="10759" max="10759" width="19.42578125" customWidth="1"/>
    <col min="10760" max="10761" width="17.7109375" customWidth="1"/>
    <col min="10762" max="10762" width="70.28515625" bestFit="1" customWidth="1"/>
    <col min="10763" max="10763" width="17.7109375" customWidth="1"/>
    <col min="11009" max="11009" width="67.7109375" bestFit="1" customWidth="1"/>
    <col min="11010" max="11010" width="29.85546875" bestFit="1" customWidth="1"/>
    <col min="11011" max="11014" width="17.7109375" customWidth="1"/>
    <col min="11015" max="11015" width="19.42578125" customWidth="1"/>
    <col min="11016" max="11017" width="17.7109375" customWidth="1"/>
    <col min="11018" max="11018" width="70.28515625" bestFit="1" customWidth="1"/>
    <col min="11019" max="11019" width="17.7109375" customWidth="1"/>
    <col min="11265" max="11265" width="67.7109375" bestFit="1" customWidth="1"/>
    <col min="11266" max="11266" width="29.85546875" bestFit="1" customWidth="1"/>
    <col min="11267" max="11270" width="17.7109375" customWidth="1"/>
    <col min="11271" max="11271" width="19.42578125" customWidth="1"/>
    <col min="11272" max="11273" width="17.7109375" customWidth="1"/>
    <col min="11274" max="11274" width="70.28515625" bestFit="1" customWidth="1"/>
    <col min="11275" max="11275" width="17.7109375" customWidth="1"/>
    <col min="11521" max="11521" width="67.7109375" bestFit="1" customWidth="1"/>
    <col min="11522" max="11522" width="29.85546875" bestFit="1" customWidth="1"/>
    <col min="11523" max="11526" width="17.7109375" customWidth="1"/>
    <col min="11527" max="11527" width="19.42578125" customWidth="1"/>
    <col min="11528" max="11529" width="17.7109375" customWidth="1"/>
    <col min="11530" max="11530" width="70.28515625" bestFit="1" customWidth="1"/>
    <col min="11531" max="11531" width="17.7109375" customWidth="1"/>
    <col min="11777" max="11777" width="67.7109375" bestFit="1" customWidth="1"/>
    <col min="11778" max="11778" width="29.85546875" bestFit="1" customWidth="1"/>
    <col min="11779" max="11782" width="17.7109375" customWidth="1"/>
    <col min="11783" max="11783" width="19.42578125" customWidth="1"/>
    <col min="11784" max="11785" width="17.7109375" customWidth="1"/>
    <col min="11786" max="11786" width="70.28515625" bestFit="1" customWidth="1"/>
    <col min="11787" max="11787" width="17.7109375" customWidth="1"/>
    <col min="12033" max="12033" width="67.7109375" bestFit="1" customWidth="1"/>
    <col min="12034" max="12034" width="29.85546875" bestFit="1" customWidth="1"/>
    <col min="12035" max="12038" width="17.7109375" customWidth="1"/>
    <col min="12039" max="12039" width="19.42578125" customWidth="1"/>
    <col min="12040" max="12041" width="17.7109375" customWidth="1"/>
    <col min="12042" max="12042" width="70.28515625" bestFit="1" customWidth="1"/>
    <col min="12043" max="12043" width="17.7109375" customWidth="1"/>
    <col min="12289" max="12289" width="67.7109375" bestFit="1" customWidth="1"/>
    <col min="12290" max="12290" width="29.85546875" bestFit="1" customWidth="1"/>
    <col min="12291" max="12294" width="17.7109375" customWidth="1"/>
    <col min="12295" max="12295" width="19.42578125" customWidth="1"/>
    <col min="12296" max="12297" width="17.7109375" customWidth="1"/>
    <col min="12298" max="12298" width="70.28515625" bestFit="1" customWidth="1"/>
    <col min="12299" max="12299" width="17.7109375" customWidth="1"/>
    <col min="12545" max="12545" width="67.7109375" bestFit="1" customWidth="1"/>
    <col min="12546" max="12546" width="29.85546875" bestFit="1" customWidth="1"/>
    <col min="12547" max="12550" width="17.7109375" customWidth="1"/>
    <col min="12551" max="12551" width="19.42578125" customWidth="1"/>
    <col min="12552" max="12553" width="17.7109375" customWidth="1"/>
    <col min="12554" max="12554" width="70.28515625" bestFit="1" customWidth="1"/>
    <col min="12555" max="12555" width="17.7109375" customWidth="1"/>
    <col min="12801" max="12801" width="67.7109375" bestFit="1" customWidth="1"/>
    <col min="12802" max="12802" width="29.85546875" bestFit="1" customWidth="1"/>
    <col min="12803" max="12806" width="17.7109375" customWidth="1"/>
    <col min="12807" max="12807" width="19.42578125" customWidth="1"/>
    <col min="12808" max="12809" width="17.7109375" customWidth="1"/>
    <col min="12810" max="12810" width="70.28515625" bestFit="1" customWidth="1"/>
    <col min="12811" max="12811" width="17.7109375" customWidth="1"/>
    <col min="13057" max="13057" width="67.7109375" bestFit="1" customWidth="1"/>
    <col min="13058" max="13058" width="29.85546875" bestFit="1" customWidth="1"/>
    <col min="13059" max="13062" width="17.7109375" customWidth="1"/>
    <col min="13063" max="13063" width="19.42578125" customWidth="1"/>
    <col min="13064" max="13065" width="17.7109375" customWidth="1"/>
    <col min="13066" max="13066" width="70.28515625" bestFit="1" customWidth="1"/>
    <col min="13067" max="13067" width="17.7109375" customWidth="1"/>
    <col min="13313" max="13313" width="67.7109375" bestFit="1" customWidth="1"/>
    <col min="13314" max="13314" width="29.85546875" bestFit="1" customWidth="1"/>
    <col min="13315" max="13318" width="17.7109375" customWidth="1"/>
    <col min="13319" max="13319" width="19.42578125" customWidth="1"/>
    <col min="13320" max="13321" width="17.7109375" customWidth="1"/>
    <col min="13322" max="13322" width="70.28515625" bestFit="1" customWidth="1"/>
    <col min="13323" max="13323" width="17.7109375" customWidth="1"/>
    <col min="13569" max="13569" width="67.7109375" bestFit="1" customWidth="1"/>
    <col min="13570" max="13570" width="29.85546875" bestFit="1" customWidth="1"/>
    <col min="13571" max="13574" width="17.7109375" customWidth="1"/>
    <col min="13575" max="13575" width="19.42578125" customWidth="1"/>
    <col min="13576" max="13577" width="17.7109375" customWidth="1"/>
    <col min="13578" max="13578" width="70.28515625" bestFit="1" customWidth="1"/>
    <col min="13579" max="13579" width="17.7109375" customWidth="1"/>
    <col min="13825" max="13825" width="67.7109375" bestFit="1" customWidth="1"/>
    <col min="13826" max="13826" width="29.85546875" bestFit="1" customWidth="1"/>
    <col min="13827" max="13830" width="17.7109375" customWidth="1"/>
    <col min="13831" max="13831" width="19.42578125" customWidth="1"/>
    <col min="13832" max="13833" width="17.7109375" customWidth="1"/>
    <col min="13834" max="13834" width="70.28515625" bestFit="1" customWidth="1"/>
    <col min="13835" max="13835" width="17.7109375" customWidth="1"/>
    <col min="14081" max="14081" width="67.7109375" bestFit="1" customWidth="1"/>
    <col min="14082" max="14082" width="29.85546875" bestFit="1" customWidth="1"/>
    <col min="14083" max="14086" width="17.7109375" customWidth="1"/>
    <col min="14087" max="14087" width="19.42578125" customWidth="1"/>
    <col min="14088" max="14089" width="17.7109375" customWidth="1"/>
    <col min="14090" max="14090" width="70.28515625" bestFit="1" customWidth="1"/>
    <col min="14091" max="14091" width="17.7109375" customWidth="1"/>
    <col min="14337" max="14337" width="67.7109375" bestFit="1" customWidth="1"/>
    <col min="14338" max="14338" width="29.85546875" bestFit="1" customWidth="1"/>
    <col min="14339" max="14342" width="17.7109375" customWidth="1"/>
    <col min="14343" max="14343" width="19.42578125" customWidth="1"/>
    <col min="14344" max="14345" width="17.7109375" customWidth="1"/>
    <col min="14346" max="14346" width="70.28515625" bestFit="1" customWidth="1"/>
    <col min="14347" max="14347" width="17.7109375" customWidth="1"/>
    <col min="14593" max="14593" width="67.7109375" bestFit="1" customWidth="1"/>
    <col min="14594" max="14594" width="29.85546875" bestFit="1" customWidth="1"/>
    <col min="14595" max="14598" width="17.7109375" customWidth="1"/>
    <col min="14599" max="14599" width="19.42578125" customWidth="1"/>
    <col min="14600" max="14601" width="17.7109375" customWidth="1"/>
    <col min="14602" max="14602" width="70.28515625" bestFit="1" customWidth="1"/>
    <col min="14603" max="14603" width="17.7109375" customWidth="1"/>
    <col min="14849" max="14849" width="67.7109375" bestFit="1" customWidth="1"/>
    <col min="14850" max="14850" width="29.85546875" bestFit="1" customWidth="1"/>
    <col min="14851" max="14854" width="17.7109375" customWidth="1"/>
    <col min="14855" max="14855" width="19.42578125" customWidth="1"/>
    <col min="14856" max="14857" width="17.7109375" customWidth="1"/>
    <col min="14858" max="14858" width="70.28515625" bestFit="1" customWidth="1"/>
    <col min="14859" max="14859" width="17.7109375" customWidth="1"/>
    <col min="15105" max="15105" width="67.7109375" bestFit="1" customWidth="1"/>
    <col min="15106" max="15106" width="29.85546875" bestFit="1" customWidth="1"/>
    <col min="15107" max="15110" width="17.7109375" customWidth="1"/>
    <col min="15111" max="15111" width="19.42578125" customWidth="1"/>
    <col min="15112" max="15113" width="17.7109375" customWidth="1"/>
    <col min="15114" max="15114" width="70.28515625" bestFit="1" customWidth="1"/>
    <col min="15115" max="15115" width="17.7109375" customWidth="1"/>
    <col min="15361" max="15361" width="67.7109375" bestFit="1" customWidth="1"/>
    <col min="15362" max="15362" width="29.85546875" bestFit="1" customWidth="1"/>
    <col min="15363" max="15366" width="17.7109375" customWidth="1"/>
    <col min="15367" max="15367" width="19.42578125" customWidth="1"/>
    <col min="15368" max="15369" width="17.7109375" customWidth="1"/>
    <col min="15370" max="15370" width="70.28515625" bestFit="1" customWidth="1"/>
    <col min="15371" max="15371" width="17.7109375" customWidth="1"/>
    <col min="15617" max="15617" width="67.7109375" bestFit="1" customWidth="1"/>
    <col min="15618" max="15618" width="29.85546875" bestFit="1" customWidth="1"/>
    <col min="15619" max="15622" width="17.7109375" customWidth="1"/>
    <col min="15623" max="15623" width="19.42578125" customWidth="1"/>
    <col min="15624" max="15625" width="17.7109375" customWidth="1"/>
    <col min="15626" max="15626" width="70.28515625" bestFit="1" customWidth="1"/>
    <col min="15627" max="15627" width="17.7109375" customWidth="1"/>
    <col min="15873" max="15873" width="67.7109375" bestFit="1" customWidth="1"/>
    <col min="15874" max="15874" width="29.85546875" bestFit="1" customWidth="1"/>
    <col min="15875" max="15878" width="17.7109375" customWidth="1"/>
    <col min="15879" max="15879" width="19.42578125" customWidth="1"/>
    <col min="15880" max="15881" width="17.7109375" customWidth="1"/>
    <col min="15882" max="15882" width="70.28515625" bestFit="1" customWidth="1"/>
    <col min="15883" max="15883" width="17.7109375" customWidth="1"/>
    <col min="16129" max="16129" width="67.7109375" bestFit="1" customWidth="1"/>
    <col min="16130" max="16130" width="29.85546875" bestFit="1" customWidth="1"/>
    <col min="16131" max="16134" width="17.7109375" customWidth="1"/>
    <col min="16135" max="16135" width="19.42578125" customWidth="1"/>
    <col min="16136" max="16137" width="17.7109375" customWidth="1"/>
    <col min="16138" max="16138" width="70.28515625" bestFit="1" customWidth="1"/>
    <col min="16139" max="16139" width="17.7109375" customWidth="1"/>
  </cols>
  <sheetData>
    <row r="1" spans="1:11" s="177" customFormat="1" ht="21" customHeight="1">
      <c r="A1" s="175" t="s">
        <v>235</v>
      </c>
      <c r="B1" s="176"/>
    </row>
    <row r="2" spans="1:11" s="177" customFormat="1" ht="19.5" customHeight="1">
      <c r="A2" s="178" t="s">
        <v>360</v>
      </c>
      <c r="B2" s="176"/>
      <c r="C2" s="179"/>
      <c r="D2" s="179"/>
      <c r="E2" s="179"/>
      <c r="F2" s="179"/>
      <c r="G2" s="179"/>
      <c r="H2" s="179"/>
      <c r="I2" s="179"/>
      <c r="J2" s="179"/>
      <c r="K2" s="180" t="s">
        <v>234</v>
      </c>
    </row>
    <row r="3" spans="1:11" s="177" customFormat="1" ht="22.5" customHeight="1">
      <c r="A3" s="181" t="s">
        <v>361</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ht="18.75" customHeight="1">
      <c r="A6" s="248"/>
      <c r="D6" s="249"/>
      <c r="E6" s="249"/>
      <c r="F6" s="249"/>
      <c r="G6" s="248"/>
      <c r="H6" s="249"/>
      <c r="I6" s="249"/>
      <c r="K6" s="249"/>
    </row>
    <row r="7" spans="1:11" s="177" customFormat="1">
      <c r="A7" s="182" t="s">
        <v>228</v>
      </c>
      <c r="B7" s="182" t="s">
        <v>227</v>
      </c>
      <c r="C7" s="182" t="s">
        <v>226</v>
      </c>
      <c r="D7" s="182"/>
      <c r="E7" s="183" t="s">
        <v>225</v>
      </c>
      <c r="F7" s="183"/>
      <c r="G7" s="182" t="s">
        <v>224</v>
      </c>
      <c r="H7" s="1381" t="s">
        <v>223</v>
      </c>
      <c r="I7" s="1381"/>
      <c r="J7" s="182" t="s">
        <v>222</v>
      </c>
      <c r="K7" s="182" t="s">
        <v>221</v>
      </c>
    </row>
    <row r="8" spans="1:11" s="186" customFormat="1">
      <c r="A8" s="1382" t="s">
        <v>220</v>
      </c>
      <c r="B8" s="1379" t="s">
        <v>219</v>
      </c>
      <c r="C8" s="1379" t="s">
        <v>218</v>
      </c>
      <c r="D8" s="1379" t="s">
        <v>217</v>
      </c>
      <c r="E8" s="1379" t="s">
        <v>216</v>
      </c>
      <c r="F8" s="1379"/>
      <c r="G8" s="1379" t="s">
        <v>215</v>
      </c>
      <c r="H8" s="1379" t="s">
        <v>214</v>
      </c>
      <c r="I8" s="1379"/>
      <c r="J8" s="1379" t="s">
        <v>240</v>
      </c>
      <c r="K8" s="1380" t="s">
        <v>212</v>
      </c>
    </row>
    <row r="9" spans="1:11" s="186" customFormat="1">
      <c r="A9" s="1382"/>
      <c r="B9" s="1379"/>
      <c r="C9" s="1379"/>
      <c r="D9" s="1379"/>
      <c r="E9" s="187" t="s">
        <v>211</v>
      </c>
      <c r="F9" s="187" t="s">
        <v>210</v>
      </c>
      <c r="G9" s="1379"/>
      <c r="H9" s="187" t="s">
        <v>211</v>
      </c>
      <c r="I9" s="187" t="s">
        <v>210</v>
      </c>
      <c r="J9" s="1379"/>
      <c r="K9" s="1380"/>
    </row>
    <row r="10" spans="1:11" ht="15.95" customHeight="1">
      <c r="A10" s="188" t="s">
        <v>208</v>
      </c>
      <c r="B10" s="189"/>
      <c r="C10" s="189"/>
      <c r="D10" s="189"/>
      <c r="E10" s="189"/>
      <c r="F10" s="189"/>
      <c r="G10" s="189"/>
      <c r="H10" s="189"/>
      <c r="I10" s="189"/>
      <c r="J10" s="189"/>
      <c r="K10" s="190">
        <f>SUM(K11)</f>
        <v>0</v>
      </c>
    </row>
    <row r="11" spans="1:11" ht="19.5" customHeight="1">
      <c r="A11" s="192"/>
      <c r="B11" s="193"/>
      <c r="C11" s="193"/>
      <c r="D11" s="194"/>
      <c r="E11" s="194"/>
      <c r="F11" s="194"/>
      <c r="G11" s="193"/>
      <c r="H11" s="193"/>
      <c r="I11" s="193"/>
      <c r="J11" s="193"/>
      <c r="K11" s="195"/>
    </row>
    <row r="12" spans="1:11" ht="15.95" customHeight="1">
      <c r="A12" s="188" t="s">
        <v>207</v>
      </c>
      <c r="B12" s="189"/>
      <c r="C12" s="189"/>
      <c r="D12" s="196"/>
      <c r="E12" s="196"/>
      <c r="F12" s="196"/>
      <c r="G12" s="189"/>
      <c r="H12" s="189"/>
      <c r="I12" s="189"/>
      <c r="J12" s="189"/>
      <c r="K12" s="262">
        <f>SUM(K13:K16)</f>
        <v>36408270.770000003</v>
      </c>
    </row>
    <row r="13" spans="1:11" ht="15.95" customHeight="1">
      <c r="A13" s="192" t="s">
        <v>362</v>
      </c>
      <c r="B13" s="263" t="s">
        <v>363</v>
      </c>
      <c r="C13" s="263" t="s">
        <v>345</v>
      </c>
      <c r="D13" s="264">
        <v>1.2E-2</v>
      </c>
      <c r="E13" s="264">
        <v>5.0000000000000001E-3</v>
      </c>
      <c r="F13" s="265">
        <v>0.05</v>
      </c>
      <c r="G13" s="263"/>
      <c r="H13" s="263"/>
      <c r="I13" s="263"/>
      <c r="J13" s="235" t="s">
        <v>364</v>
      </c>
      <c r="K13" s="266">
        <v>21914706.510000002</v>
      </c>
    </row>
    <row r="14" spans="1:11" ht="15.95" customHeight="1">
      <c r="A14" s="192" t="s">
        <v>365</v>
      </c>
      <c r="B14" s="263" t="s">
        <v>366</v>
      </c>
      <c r="C14" s="263" t="s">
        <v>367</v>
      </c>
      <c r="D14" s="202" t="s">
        <v>368</v>
      </c>
      <c r="E14" s="267">
        <v>6.4999999999999997E-3</v>
      </c>
      <c r="F14" s="267">
        <v>8.5000000000000006E-3</v>
      </c>
      <c r="G14" s="263"/>
      <c r="H14" s="263"/>
      <c r="I14" s="263"/>
      <c r="J14" s="235" t="s">
        <v>369</v>
      </c>
      <c r="K14" s="266">
        <v>10017493.710000001</v>
      </c>
    </row>
    <row r="15" spans="1:11" ht="15.95" customHeight="1">
      <c r="A15" s="233" t="s">
        <v>370</v>
      </c>
      <c r="B15" s="235" t="s">
        <v>371</v>
      </c>
      <c r="C15" s="235" t="s">
        <v>367</v>
      </c>
      <c r="D15" s="265" t="s">
        <v>371</v>
      </c>
      <c r="E15" s="265"/>
      <c r="F15" s="265"/>
      <c r="G15" s="268">
        <v>450</v>
      </c>
      <c r="H15" s="235"/>
      <c r="I15" s="235"/>
      <c r="J15" s="235" t="s">
        <v>372</v>
      </c>
      <c r="K15" s="269">
        <v>4409290.55</v>
      </c>
    </row>
    <row r="16" spans="1:11" ht="15.95" customHeight="1">
      <c r="A16" s="233" t="s">
        <v>373</v>
      </c>
      <c r="B16" s="263" t="s">
        <v>371</v>
      </c>
      <c r="C16" s="263" t="s">
        <v>374</v>
      </c>
      <c r="D16" s="202" t="s">
        <v>371</v>
      </c>
      <c r="E16" s="265">
        <v>0.01</v>
      </c>
      <c r="F16" s="265">
        <v>0.05</v>
      </c>
      <c r="G16" s="235"/>
      <c r="H16" s="268">
        <v>2720</v>
      </c>
      <c r="I16" s="268">
        <v>11130</v>
      </c>
      <c r="J16" s="235" t="s">
        <v>375</v>
      </c>
      <c r="K16" s="266">
        <v>66780</v>
      </c>
    </row>
    <row r="17" spans="1:11" ht="15.95" customHeight="1">
      <c r="A17" s="209" t="s">
        <v>191</v>
      </c>
      <c r="B17" s="210"/>
      <c r="C17" s="210"/>
      <c r="D17" s="211"/>
      <c r="E17" s="211"/>
      <c r="F17" s="211"/>
      <c r="G17" s="210"/>
      <c r="H17" s="210"/>
      <c r="I17" s="210"/>
      <c r="J17" s="210"/>
      <c r="K17" s="270">
        <f>SUM(K18:K19)</f>
        <v>6669458.1500000004</v>
      </c>
    </row>
    <row r="18" spans="1:11" ht="15.95" customHeight="1">
      <c r="A18" s="192" t="s">
        <v>376</v>
      </c>
      <c r="B18" s="232" t="s">
        <v>356</v>
      </c>
      <c r="C18" s="232" t="s">
        <v>345</v>
      </c>
      <c r="D18" s="271" t="s">
        <v>371</v>
      </c>
      <c r="E18" s="271"/>
      <c r="F18" s="271"/>
      <c r="G18" s="232"/>
      <c r="H18" s="232"/>
      <c r="I18" s="232"/>
      <c r="J18" s="232" t="s">
        <v>377</v>
      </c>
      <c r="K18" s="272">
        <v>5662868.54</v>
      </c>
    </row>
    <row r="19" spans="1:11" ht="15.95" customHeight="1">
      <c r="A19" s="192" t="s">
        <v>378</v>
      </c>
      <c r="B19" s="232" t="s">
        <v>379</v>
      </c>
      <c r="C19" s="232" t="s">
        <v>345</v>
      </c>
      <c r="D19" s="271" t="s">
        <v>371</v>
      </c>
      <c r="E19" s="271"/>
      <c r="F19" s="271"/>
      <c r="G19" s="232"/>
      <c r="H19" s="232"/>
      <c r="I19" s="232"/>
      <c r="J19" s="232" t="s">
        <v>377</v>
      </c>
      <c r="K19" s="272">
        <v>1006589.61</v>
      </c>
    </row>
    <row r="20" spans="1:11" ht="15.95" customHeight="1">
      <c r="A20" s="188" t="s">
        <v>179</v>
      </c>
      <c r="B20" s="189"/>
      <c r="C20" s="189"/>
      <c r="D20" s="196"/>
      <c r="E20" s="196"/>
      <c r="F20" s="196"/>
      <c r="G20" s="189"/>
      <c r="H20" s="189"/>
      <c r="I20" s="189"/>
      <c r="J20" s="189"/>
      <c r="K20" s="262">
        <f>SUM(K21:K27)</f>
        <v>6788209.0999999996</v>
      </c>
    </row>
    <row r="21" spans="1:11" ht="15.95" customHeight="1">
      <c r="A21" s="192" t="s">
        <v>380</v>
      </c>
      <c r="B21" s="263" t="s">
        <v>381</v>
      </c>
      <c r="C21" s="263" t="s">
        <v>345</v>
      </c>
      <c r="D21" s="202" t="s">
        <v>371</v>
      </c>
      <c r="E21" s="202"/>
      <c r="F21" s="202"/>
      <c r="G21" s="273">
        <v>54100</v>
      </c>
      <c r="H21" s="263"/>
      <c r="I21" s="263"/>
      <c r="J21" s="263" t="s">
        <v>382</v>
      </c>
      <c r="K21" s="266">
        <v>4472270</v>
      </c>
    </row>
    <row r="22" spans="1:11" s="177" customFormat="1" ht="15.95" customHeight="1">
      <c r="A22" s="192" t="s">
        <v>172</v>
      </c>
      <c r="B22" s="263" t="s">
        <v>371</v>
      </c>
      <c r="C22" s="263" t="s">
        <v>383</v>
      </c>
      <c r="D22" s="202" t="s">
        <v>371</v>
      </c>
      <c r="E22" s="202"/>
      <c r="F22" s="202"/>
      <c r="G22" s="263"/>
      <c r="H22" s="273">
        <v>60</v>
      </c>
      <c r="I22" s="273">
        <v>2520</v>
      </c>
      <c r="J22" s="263" t="s">
        <v>384</v>
      </c>
      <c r="K22" s="266">
        <v>1597960</v>
      </c>
    </row>
    <row r="23" spans="1:11" s="177" customFormat="1" ht="15.95" customHeight="1">
      <c r="A23" s="192" t="s">
        <v>385</v>
      </c>
      <c r="B23" s="263" t="s">
        <v>386</v>
      </c>
      <c r="C23" s="263" t="s">
        <v>352</v>
      </c>
      <c r="D23" s="202" t="s">
        <v>371</v>
      </c>
      <c r="E23" s="202"/>
      <c r="F23" s="202"/>
      <c r="G23" s="263"/>
      <c r="H23" s="273">
        <v>390</v>
      </c>
      <c r="I23" s="273">
        <v>10330</v>
      </c>
      <c r="J23" s="263" t="s">
        <v>387</v>
      </c>
      <c r="K23" s="266">
        <v>578372.85</v>
      </c>
    </row>
    <row r="24" spans="1:11" ht="15.95" customHeight="1">
      <c r="A24" s="192" t="s">
        <v>388</v>
      </c>
      <c r="B24" s="263" t="s">
        <v>366</v>
      </c>
      <c r="C24" s="263" t="s">
        <v>389</v>
      </c>
      <c r="D24" s="264">
        <v>3.0000000000000001E-3</v>
      </c>
      <c r="E24" s="202"/>
      <c r="F24" s="202"/>
      <c r="G24" s="263"/>
      <c r="H24" s="263"/>
      <c r="I24" s="263"/>
      <c r="J24" s="263" t="s">
        <v>390</v>
      </c>
      <c r="K24" s="266">
        <v>64136.25</v>
      </c>
    </row>
    <row r="25" spans="1:11" ht="15.95" customHeight="1">
      <c r="A25" s="192" t="s">
        <v>155</v>
      </c>
      <c r="B25" s="263" t="s">
        <v>371</v>
      </c>
      <c r="C25" s="263" t="s">
        <v>374</v>
      </c>
      <c r="D25" s="202" t="s">
        <v>371</v>
      </c>
      <c r="E25" s="202"/>
      <c r="F25" s="202"/>
      <c r="G25" s="263"/>
      <c r="H25" s="273">
        <v>2800</v>
      </c>
      <c r="I25" s="273">
        <v>14000</v>
      </c>
      <c r="J25" s="263" t="s">
        <v>391</v>
      </c>
      <c r="K25" s="266">
        <v>63000</v>
      </c>
    </row>
    <row r="26" spans="1:11" ht="15.95" customHeight="1">
      <c r="A26" s="192" t="s">
        <v>392</v>
      </c>
      <c r="B26" s="263" t="s">
        <v>371</v>
      </c>
      <c r="C26" s="263" t="s">
        <v>345</v>
      </c>
      <c r="D26" s="202" t="s">
        <v>371</v>
      </c>
      <c r="E26" s="202"/>
      <c r="F26" s="202"/>
      <c r="G26" s="273">
        <v>110</v>
      </c>
      <c r="H26" s="263"/>
      <c r="I26" s="263"/>
      <c r="J26" s="263" t="s">
        <v>393</v>
      </c>
      <c r="K26" s="266">
        <v>9520</v>
      </c>
    </row>
    <row r="27" spans="1:11" ht="15.95" customHeight="1">
      <c r="A27" s="192" t="s">
        <v>158</v>
      </c>
      <c r="B27" s="263" t="s">
        <v>371</v>
      </c>
      <c r="C27" s="263" t="s">
        <v>394</v>
      </c>
      <c r="D27" s="202" t="s">
        <v>371</v>
      </c>
      <c r="E27" s="202"/>
      <c r="F27" s="202"/>
      <c r="G27" s="263"/>
      <c r="H27" s="263"/>
      <c r="I27" s="263"/>
      <c r="J27" s="263" t="s">
        <v>395</v>
      </c>
      <c r="K27" s="266">
        <v>2950</v>
      </c>
    </row>
    <row r="28" spans="1:11" ht="15.95" customHeight="1">
      <c r="A28" s="188" t="s">
        <v>152</v>
      </c>
      <c r="B28" s="189"/>
      <c r="C28" s="189"/>
      <c r="D28" s="196"/>
      <c r="E28" s="196"/>
      <c r="F28" s="196"/>
      <c r="G28" s="189"/>
      <c r="H28" s="189"/>
      <c r="I28" s="189"/>
      <c r="J28" s="189"/>
      <c r="K28" s="190">
        <f>SUM(K29:K29)</f>
        <v>0</v>
      </c>
    </row>
    <row r="29" spans="1:11" ht="15.95" customHeight="1">
      <c r="A29" s="256"/>
      <c r="B29" s="193"/>
      <c r="C29" s="193"/>
      <c r="D29" s="194"/>
      <c r="E29" s="194"/>
      <c r="F29" s="194"/>
      <c r="G29" s="193"/>
      <c r="H29" s="193"/>
      <c r="I29" s="193"/>
      <c r="J29" s="193"/>
      <c r="K29" s="195"/>
    </row>
    <row r="30" spans="1:11" ht="15.95" customHeight="1">
      <c r="A30" s="188" t="s">
        <v>151</v>
      </c>
      <c r="B30" s="189"/>
      <c r="C30" s="189"/>
      <c r="D30" s="196"/>
      <c r="E30" s="196"/>
      <c r="F30" s="196"/>
      <c r="G30" s="189"/>
      <c r="H30" s="189"/>
      <c r="I30" s="189"/>
      <c r="J30" s="189"/>
      <c r="K30" s="262">
        <f>SUM(K31:K31)</f>
        <v>1858160.6</v>
      </c>
    </row>
    <row r="31" spans="1:11" ht="15.95" customHeight="1">
      <c r="A31" s="192" t="s">
        <v>396</v>
      </c>
      <c r="B31" s="263" t="s">
        <v>371</v>
      </c>
      <c r="C31" s="263" t="s">
        <v>383</v>
      </c>
      <c r="D31" s="202" t="s">
        <v>371</v>
      </c>
      <c r="E31" s="202">
        <v>0.01</v>
      </c>
      <c r="F31" s="202">
        <v>5</v>
      </c>
      <c r="G31" s="235"/>
      <c r="H31" s="263"/>
      <c r="I31" s="263"/>
      <c r="J31" s="263" t="s">
        <v>397</v>
      </c>
      <c r="K31" s="266">
        <v>1858160.6</v>
      </c>
    </row>
    <row r="32" spans="1:11" ht="15.95" customHeight="1">
      <c r="A32" s="209" t="s">
        <v>137</v>
      </c>
      <c r="B32" s="210"/>
      <c r="C32" s="210"/>
      <c r="D32" s="211"/>
      <c r="E32" s="211"/>
      <c r="F32" s="211"/>
      <c r="G32" s="210"/>
      <c r="H32" s="210"/>
      <c r="I32" s="210"/>
      <c r="J32" s="210"/>
      <c r="K32" s="213">
        <f>SUM(K33)</f>
        <v>0</v>
      </c>
    </row>
    <row r="33" spans="1:11" ht="15.95" customHeight="1">
      <c r="A33" s="274"/>
      <c r="B33" s="217"/>
      <c r="C33" s="217"/>
      <c r="D33" s="216"/>
      <c r="E33" s="216"/>
      <c r="F33" s="216"/>
      <c r="G33" s="217"/>
      <c r="H33" s="217"/>
      <c r="I33" s="217"/>
      <c r="J33" s="217"/>
      <c r="K33" s="219"/>
    </row>
    <row r="34" spans="1:11" ht="15.95" customHeight="1">
      <c r="A34" s="188" t="s">
        <v>136</v>
      </c>
      <c r="B34" s="189"/>
      <c r="C34" s="189"/>
      <c r="D34" s="196"/>
      <c r="E34" s="196"/>
      <c r="F34" s="196"/>
      <c r="G34" s="189"/>
      <c r="H34" s="189"/>
      <c r="I34" s="189"/>
      <c r="J34" s="189"/>
      <c r="K34" s="262">
        <f>SUM(K35:K41)</f>
        <v>23575546.98</v>
      </c>
    </row>
    <row r="35" spans="1:11" ht="15.95" customHeight="1">
      <c r="A35" s="233" t="s">
        <v>398</v>
      </c>
      <c r="B35" s="235" t="s">
        <v>371</v>
      </c>
      <c r="C35" s="235" t="s">
        <v>345</v>
      </c>
      <c r="D35" s="265" t="s">
        <v>371</v>
      </c>
      <c r="E35" s="265"/>
      <c r="F35" s="265"/>
      <c r="G35" s="235"/>
      <c r="H35" s="235"/>
      <c r="I35" s="235"/>
      <c r="J35" s="235" t="s">
        <v>399</v>
      </c>
      <c r="K35" s="269">
        <v>14684345.710000001</v>
      </c>
    </row>
    <row r="36" spans="1:11" ht="15.95" customHeight="1">
      <c r="A36" s="233" t="s">
        <v>400</v>
      </c>
      <c r="B36" s="235" t="s">
        <v>371</v>
      </c>
      <c r="C36" s="235" t="s">
        <v>383</v>
      </c>
      <c r="D36" s="265">
        <v>0.1</v>
      </c>
      <c r="E36" s="265"/>
      <c r="F36" s="265"/>
      <c r="G36" s="275"/>
      <c r="H36" s="235"/>
      <c r="I36" s="235"/>
      <c r="J36" s="235" t="s">
        <v>401</v>
      </c>
      <c r="K36" s="269">
        <v>3023795.59</v>
      </c>
    </row>
    <row r="37" spans="1:11" ht="15.95" customHeight="1">
      <c r="A37" s="233" t="s">
        <v>402</v>
      </c>
      <c r="B37" s="235" t="s">
        <v>371</v>
      </c>
      <c r="C37" s="235" t="s">
        <v>345</v>
      </c>
      <c r="D37" s="265" t="s">
        <v>371</v>
      </c>
      <c r="E37" s="265"/>
      <c r="F37" s="265"/>
      <c r="G37" s="235"/>
      <c r="H37" s="235"/>
      <c r="I37" s="235"/>
      <c r="J37" s="235" t="s">
        <v>403</v>
      </c>
      <c r="K37" s="269">
        <v>1739567.82</v>
      </c>
    </row>
    <row r="38" spans="1:11" s="177" customFormat="1" ht="15.95" customHeight="1">
      <c r="A38" s="233" t="s">
        <v>404</v>
      </c>
      <c r="B38" s="235" t="s">
        <v>371</v>
      </c>
      <c r="C38" s="235" t="s">
        <v>405</v>
      </c>
      <c r="D38" s="265" t="s">
        <v>371</v>
      </c>
      <c r="E38" s="265"/>
      <c r="F38" s="265"/>
      <c r="G38" s="235"/>
      <c r="H38" s="235"/>
      <c r="I38" s="235"/>
      <c r="J38" s="235" t="s">
        <v>406</v>
      </c>
      <c r="K38" s="269">
        <v>1646281.93</v>
      </c>
    </row>
    <row r="39" spans="1:11" s="177" customFormat="1" ht="15.95" customHeight="1">
      <c r="A39" s="233" t="s">
        <v>407</v>
      </c>
      <c r="B39" s="235" t="s">
        <v>371</v>
      </c>
      <c r="C39" s="235" t="s">
        <v>405</v>
      </c>
      <c r="D39" s="265" t="s">
        <v>371</v>
      </c>
      <c r="E39" s="265"/>
      <c r="F39" s="265"/>
      <c r="G39" s="235"/>
      <c r="H39" s="235"/>
      <c r="I39" s="235"/>
      <c r="J39" s="235" t="s">
        <v>408</v>
      </c>
      <c r="K39" s="269">
        <v>1477600</v>
      </c>
    </row>
    <row r="40" spans="1:11" s="177" customFormat="1" ht="15.95" customHeight="1">
      <c r="A40" s="233" t="s">
        <v>409</v>
      </c>
      <c r="B40" s="235" t="s">
        <v>371</v>
      </c>
      <c r="C40" s="235" t="s">
        <v>345</v>
      </c>
      <c r="D40" s="265" t="s">
        <v>371</v>
      </c>
      <c r="E40" s="265"/>
      <c r="F40" s="265"/>
      <c r="G40" s="235"/>
      <c r="H40" s="235"/>
      <c r="I40" s="235"/>
      <c r="J40" s="235" t="s">
        <v>410</v>
      </c>
      <c r="K40" s="269">
        <v>846801.36</v>
      </c>
    </row>
    <row r="41" spans="1:11" s="177" customFormat="1" ht="15.95" customHeight="1">
      <c r="A41" s="192" t="s">
        <v>411</v>
      </c>
      <c r="B41" s="263" t="s">
        <v>412</v>
      </c>
      <c r="C41" s="263" t="s">
        <v>345</v>
      </c>
      <c r="D41" s="202" t="s">
        <v>371</v>
      </c>
      <c r="E41" s="202"/>
      <c r="F41" s="202"/>
      <c r="G41" s="263"/>
      <c r="H41" s="263"/>
      <c r="I41" s="263"/>
      <c r="J41" s="263" t="s">
        <v>413</v>
      </c>
      <c r="K41" s="266">
        <v>157154.57</v>
      </c>
    </row>
    <row r="42" spans="1:11" ht="15.95" customHeight="1">
      <c r="A42" s="241" t="s">
        <v>108</v>
      </c>
      <c r="B42" s="242"/>
      <c r="C42" s="242"/>
      <c r="D42" s="243"/>
      <c r="E42" s="243"/>
      <c r="F42" s="243"/>
      <c r="G42" s="242"/>
      <c r="H42" s="242"/>
      <c r="I42" s="242"/>
      <c r="J42" s="242"/>
      <c r="K42" s="276">
        <f>+K10+K12+K17+K20+K28+K30+K32+K34</f>
        <v>75299645.600000009</v>
      </c>
    </row>
    <row r="43" spans="1:11" ht="15.95" customHeight="1">
      <c r="A43" s="245"/>
      <c r="B43" s="246"/>
      <c r="C43" s="246"/>
      <c r="D43" s="246"/>
      <c r="E43" s="246"/>
      <c r="F43" s="246"/>
      <c r="G43" s="246"/>
      <c r="H43" s="246"/>
      <c r="I43" s="246"/>
      <c r="J43" s="246"/>
      <c r="K43" s="246"/>
    </row>
    <row r="44" spans="1:11" ht="15.95" customHeight="1">
      <c r="A44" t="s">
        <v>414</v>
      </c>
    </row>
    <row r="45" spans="1:11">
      <c r="A45" t="s">
        <v>415</v>
      </c>
    </row>
    <row r="47" spans="1:11">
      <c r="A47" s="277"/>
    </row>
    <row r="48" spans="1:11" ht="16.5">
      <c r="A48" s="278"/>
    </row>
    <row r="49" spans="1:1" ht="16.5">
      <c r="A49" s="279"/>
    </row>
    <row r="50" spans="1:1">
      <c r="A50" s="239"/>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K72"/>
  <sheetViews>
    <sheetView showGridLines="0" zoomScaleNormal="100" workbookViewId="0"/>
  </sheetViews>
  <sheetFormatPr baseColWidth="10" defaultRowHeight="15"/>
  <cols>
    <col min="1" max="1" width="65.140625" customWidth="1"/>
    <col min="2" max="6" width="17.7109375" customWidth="1"/>
    <col min="7" max="7" width="19.42578125" customWidth="1"/>
    <col min="8" max="9" width="17.7109375" customWidth="1"/>
    <col min="10" max="10" width="24.7109375" customWidth="1"/>
    <col min="11" max="11" width="17.7109375" customWidth="1"/>
    <col min="257" max="257" width="65.140625" customWidth="1"/>
    <col min="258" max="262" width="17.7109375" customWidth="1"/>
    <col min="263" max="263" width="19.42578125" customWidth="1"/>
    <col min="264" max="265" width="17.7109375" customWidth="1"/>
    <col min="266" max="266" width="24.7109375" customWidth="1"/>
    <col min="267" max="267" width="17.7109375" customWidth="1"/>
    <col min="513" max="513" width="65.140625" customWidth="1"/>
    <col min="514" max="518" width="17.7109375" customWidth="1"/>
    <col min="519" max="519" width="19.42578125" customWidth="1"/>
    <col min="520" max="521" width="17.7109375" customWidth="1"/>
    <col min="522" max="522" width="24.7109375" customWidth="1"/>
    <col min="523" max="523" width="17.7109375" customWidth="1"/>
    <col min="769" max="769" width="65.140625" customWidth="1"/>
    <col min="770" max="774" width="17.7109375" customWidth="1"/>
    <col min="775" max="775" width="19.42578125" customWidth="1"/>
    <col min="776" max="777" width="17.7109375" customWidth="1"/>
    <col min="778" max="778" width="24.7109375" customWidth="1"/>
    <col min="779" max="779" width="17.7109375" customWidth="1"/>
    <col min="1025" max="1025" width="65.140625" customWidth="1"/>
    <col min="1026" max="1030" width="17.7109375" customWidth="1"/>
    <col min="1031" max="1031" width="19.42578125" customWidth="1"/>
    <col min="1032" max="1033" width="17.7109375" customWidth="1"/>
    <col min="1034" max="1034" width="24.7109375" customWidth="1"/>
    <col min="1035" max="1035" width="17.7109375" customWidth="1"/>
    <col min="1281" max="1281" width="65.140625" customWidth="1"/>
    <col min="1282" max="1286" width="17.7109375" customWidth="1"/>
    <col min="1287" max="1287" width="19.42578125" customWidth="1"/>
    <col min="1288" max="1289" width="17.7109375" customWidth="1"/>
    <col min="1290" max="1290" width="24.7109375" customWidth="1"/>
    <col min="1291" max="1291" width="17.7109375" customWidth="1"/>
    <col min="1537" max="1537" width="65.140625" customWidth="1"/>
    <col min="1538" max="1542" width="17.7109375" customWidth="1"/>
    <col min="1543" max="1543" width="19.42578125" customWidth="1"/>
    <col min="1544" max="1545" width="17.7109375" customWidth="1"/>
    <col min="1546" max="1546" width="24.7109375" customWidth="1"/>
    <col min="1547" max="1547" width="17.7109375" customWidth="1"/>
    <col min="1793" max="1793" width="65.140625" customWidth="1"/>
    <col min="1794" max="1798" width="17.7109375" customWidth="1"/>
    <col min="1799" max="1799" width="19.42578125" customWidth="1"/>
    <col min="1800" max="1801" width="17.7109375" customWidth="1"/>
    <col min="1802" max="1802" width="24.7109375" customWidth="1"/>
    <col min="1803" max="1803" width="17.7109375" customWidth="1"/>
    <col min="2049" max="2049" width="65.140625" customWidth="1"/>
    <col min="2050" max="2054" width="17.7109375" customWidth="1"/>
    <col min="2055" max="2055" width="19.42578125" customWidth="1"/>
    <col min="2056" max="2057" width="17.7109375" customWidth="1"/>
    <col min="2058" max="2058" width="24.7109375" customWidth="1"/>
    <col min="2059" max="2059" width="17.7109375" customWidth="1"/>
    <col min="2305" max="2305" width="65.140625" customWidth="1"/>
    <col min="2306" max="2310" width="17.7109375" customWidth="1"/>
    <col min="2311" max="2311" width="19.42578125" customWidth="1"/>
    <col min="2312" max="2313" width="17.7109375" customWidth="1"/>
    <col min="2314" max="2314" width="24.7109375" customWidth="1"/>
    <col min="2315" max="2315" width="17.7109375" customWidth="1"/>
    <col min="2561" max="2561" width="65.140625" customWidth="1"/>
    <col min="2562" max="2566" width="17.7109375" customWidth="1"/>
    <col min="2567" max="2567" width="19.42578125" customWidth="1"/>
    <col min="2568" max="2569" width="17.7109375" customWidth="1"/>
    <col min="2570" max="2570" width="24.7109375" customWidth="1"/>
    <col min="2571" max="2571" width="17.7109375" customWidth="1"/>
    <col min="2817" max="2817" width="65.140625" customWidth="1"/>
    <col min="2818" max="2822" width="17.7109375" customWidth="1"/>
    <col min="2823" max="2823" width="19.42578125" customWidth="1"/>
    <col min="2824" max="2825" width="17.7109375" customWidth="1"/>
    <col min="2826" max="2826" width="24.7109375" customWidth="1"/>
    <col min="2827" max="2827" width="17.7109375" customWidth="1"/>
    <col min="3073" max="3073" width="65.140625" customWidth="1"/>
    <col min="3074" max="3078" width="17.7109375" customWidth="1"/>
    <col min="3079" max="3079" width="19.42578125" customWidth="1"/>
    <col min="3080" max="3081" width="17.7109375" customWidth="1"/>
    <col min="3082" max="3082" width="24.7109375" customWidth="1"/>
    <col min="3083" max="3083" width="17.7109375" customWidth="1"/>
    <col min="3329" max="3329" width="65.140625" customWidth="1"/>
    <col min="3330" max="3334" width="17.7109375" customWidth="1"/>
    <col min="3335" max="3335" width="19.42578125" customWidth="1"/>
    <col min="3336" max="3337" width="17.7109375" customWidth="1"/>
    <col min="3338" max="3338" width="24.7109375" customWidth="1"/>
    <col min="3339" max="3339" width="17.7109375" customWidth="1"/>
    <col min="3585" max="3585" width="65.140625" customWidth="1"/>
    <col min="3586" max="3590" width="17.7109375" customWidth="1"/>
    <col min="3591" max="3591" width="19.42578125" customWidth="1"/>
    <col min="3592" max="3593" width="17.7109375" customWidth="1"/>
    <col min="3594" max="3594" width="24.7109375" customWidth="1"/>
    <col min="3595" max="3595" width="17.7109375" customWidth="1"/>
    <col min="3841" max="3841" width="65.140625" customWidth="1"/>
    <col min="3842" max="3846" width="17.7109375" customWidth="1"/>
    <col min="3847" max="3847" width="19.42578125" customWidth="1"/>
    <col min="3848" max="3849" width="17.7109375" customWidth="1"/>
    <col min="3850" max="3850" width="24.7109375" customWidth="1"/>
    <col min="3851" max="3851" width="17.7109375" customWidth="1"/>
    <col min="4097" max="4097" width="65.140625" customWidth="1"/>
    <col min="4098" max="4102" width="17.7109375" customWidth="1"/>
    <col min="4103" max="4103" width="19.42578125" customWidth="1"/>
    <col min="4104" max="4105" width="17.7109375" customWidth="1"/>
    <col min="4106" max="4106" width="24.7109375" customWidth="1"/>
    <col min="4107" max="4107" width="17.7109375" customWidth="1"/>
    <col min="4353" max="4353" width="65.140625" customWidth="1"/>
    <col min="4354" max="4358" width="17.7109375" customWidth="1"/>
    <col min="4359" max="4359" width="19.42578125" customWidth="1"/>
    <col min="4360" max="4361" width="17.7109375" customWidth="1"/>
    <col min="4362" max="4362" width="24.7109375" customWidth="1"/>
    <col min="4363" max="4363" width="17.7109375" customWidth="1"/>
    <col min="4609" max="4609" width="65.140625" customWidth="1"/>
    <col min="4610" max="4614" width="17.7109375" customWidth="1"/>
    <col min="4615" max="4615" width="19.42578125" customWidth="1"/>
    <col min="4616" max="4617" width="17.7109375" customWidth="1"/>
    <col min="4618" max="4618" width="24.7109375" customWidth="1"/>
    <col min="4619" max="4619" width="17.7109375" customWidth="1"/>
    <col min="4865" max="4865" width="65.140625" customWidth="1"/>
    <col min="4866" max="4870" width="17.7109375" customWidth="1"/>
    <col min="4871" max="4871" width="19.42578125" customWidth="1"/>
    <col min="4872" max="4873" width="17.7109375" customWidth="1"/>
    <col min="4874" max="4874" width="24.7109375" customWidth="1"/>
    <col min="4875" max="4875" width="17.7109375" customWidth="1"/>
    <col min="5121" max="5121" width="65.140625" customWidth="1"/>
    <col min="5122" max="5126" width="17.7109375" customWidth="1"/>
    <col min="5127" max="5127" width="19.42578125" customWidth="1"/>
    <col min="5128" max="5129" width="17.7109375" customWidth="1"/>
    <col min="5130" max="5130" width="24.7109375" customWidth="1"/>
    <col min="5131" max="5131" width="17.7109375" customWidth="1"/>
    <col min="5377" max="5377" width="65.140625" customWidth="1"/>
    <col min="5378" max="5382" width="17.7109375" customWidth="1"/>
    <col min="5383" max="5383" width="19.42578125" customWidth="1"/>
    <col min="5384" max="5385" width="17.7109375" customWidth="1"/>
    <col min="5386" max="5386" width="24.7109375" customWidth="1"/>
    <col min="5387" max="5387" width="17.7109375" customWidth="1"/>
    <col min="5633" max="5633" width="65.140625" customWidth="1"/>
    <col min="5634" max="5638" width="17.7109375" customWidth="1"/>
    <col min="5639" max="5639" width="19.42578125" customWidth="1"/>
    <col min="5640" max="5641" width="17.7109375" customWidth="1"/>
    <col min="5642" max="5642" width="24.7109375" customWidth="1"/>
    <col min="5643" max="5643" width="17.7109375" customWidth="1"/>
    <col min="5889" max="5889" width="65.140625" customWidth="1"/>
    <col min="5890" max="5894" width="17.7109375" customWidth="1"/>
    <col min="5895" max="5895" width="19.42578125" customWidth="1"/>
    <col min="5896" max="5897" width="17.7109375" customWidth="1"/>
    <col min="5898" max="5898" width="24.7109375" customWidth="1"/>
    <col min="5899" max="5899" width="17.7109375" customWidth="1"/>
    <col min="6145" max="6145" width="65.140625" customWidth="1"/>
    <col min="6146" max="6150" width="17.7109375" customWidth="1"/>
    <col min="6151" max="6151" width="19.42578125" customWidth="1"/>
    <col min="6152" max="6153" width="17.7109375" customWidth="1"/>
    <col min="6154" max="6154" width="24.7109375" customWidth="1"/>
    <col min="6155" max="6155" width="17.7109375" customWidth="1"/>
    <col min="6401" max="6401" width="65.140625" customWidth="1"/>
    <col min="6402" max="6406" width="17.7109375" customWidth="1"/>
    <col min="6407" max="6407" width="19.42578125" customWidth="1"/>
    <col min="6408" max="6409" width="17.7109375" customWidth="1"/>
    <col min="6410" max="6410" width="24.7109375" customWidth="1"/>
    <col min="6411" max="6411" width="17.7109375" customWidth="1"/>
    <col min="6657" max="6657" width="65.140625" customWidth="1"/>
    <col min="6658" max="6662" width="17.7109375" customWidth="1"/>
    <col min="6663" max="6663" width="19.42578125" customWidth="1"/>
    <col min="6664" max="6665" width="17.7109375" customWidth="1"/>
    <col min="6666" max="6666" width="24.7109375" customWidth="1"/>
    <col min="6667" max="6667" width="17.7109375" customWidth="1"/>
    <col min="6913" max="6913" width="65.140625" customWidth="1"/>
    <col min="6914" max="6918" width="17.7109375" customWidth="1"/>
    <col min="6919" max="6919" width="19.42578125" customWidth="1"/>
    <col min="6920" max="6921" width="17.7109375" customWidth="1"/>
    <col min="6922" max="6922" width="24.7109375" customWidth="1"/>
    <col min="6923" max="6923" width="17.7109375" customWidth="1"/>
    <col min="7169" max="7169" width="65.140625" customWidth="1"/>
    <col min="7170" max="7174" width="17.7109375" customWidth="1"/>
    <col min="7175" max="7175" width="19.42578125" customWidth="1"/>
    <col min="7176" max="7177" width="17.7109375" customWidth="1"/>
    <col min="7178" max="7178" width="24.7109375" customWidth="1"/>
    <col min="7179" max="7179" width="17.7109375" customWidth="1"/>
    <col min="7425" max="7425" width="65.140625" customWidth="1"/>
    <col min="7426" max="7430" width="17.7109375" customWidth="1"/>
    <col min="7431" max="7431" width="19.42578125" customWidth="1"/>
    <col min="7432" max="7433" width="17.7109375" customWidth="1"/>
    <col min="7434" max="7434" width="24.7109375" customWidth="1"/>
    <col min="7435" max="7435" width="17.7109375" customWidth="1"/>
    <col min="7681" max="7681" width="65.140625" customWidth="1"/>
    <col min="7682" max="7686" width="17.7109375" customWidth="1"/>
    <col min="7687" max="7687" width="19.42578125" customWidth="1"/>
    <col min="7688" max="7689" width="17.7109375" customWidth="1"/>
    <col min="7690" max="7690" width="24.7109375" customWidth="1"/>
    <col min="7691" max="7691" width="17.7109375" customWidth="1"/>
    <col min="7937" max="7937" width="65.140625" customWidth="1"/>
    <col min="7938" max="7942" width="17.7109375" customWidth="1"/>
    <col min="7943" max="7943" width="19.42578125" customWidth="1"/>
    <col min="7944" max="7945" width="17.7109375" customWidth="1"/>
    <col min="7946" max="7946" width="24.7109375" customWidth="1"/>
    <col min="7947" max="7947" width="17.7109375" customWidth="1"/>
    <col min="8193" max="8193" width="65.140625" customWidth="1"/>
    <col min="8194" max="8198" width="17.7109375" customWidth="1"/>
    <col min="8199" max="8199" width="19.42578125" customWidth="1"/>
    <col min="8200" max="8201" width="17.7109375" customWidth="1"/>
    <col min="8202" max="8202" width="24.7109375" customWidth="1"/>
    <col min="8203" max="8203" width="17.7109375" customWidth="1"/>
    <col min="8449" max="8449" width="65.140625" customWidth="1"/>
    <col min="8450" max="8454" width="17.7109375" customWidth="1"/>
    <col min="8455" max="8455" width="19.42578125" customWidth="1"/>
    <col min="8456" max="8457" width="17.7109375" customWidth="1"/>
    <col min="8458" max="8458" width="24.7109375" customWidth="1"/>
    <col min="8459" max="8459" width="17.7109375" customWidth="1"/>
    <col min="8705" max="8705" width="65.140625" customWidth="1"/>
    <col min="8706" max="8710" width="17.7109375" customWidth="1"/>
    <col min="8711" max="8711" width="19.42578125" customWidth="1"/>
    <col min="8712" max="8713" width="17.7109375" customWidth="1"/>
    <col min="8714" max="8714" width="24.7109375" customWidth="1"/>
    <col min="8715" max="8715" width="17.7109375" customWidth="1"/>
    <col min="8961" max="8961" width="65.140625" customWidth="1"/>
    <col min="8962" max="8966" width="17.7109375" customWidth="1"/>
    <col min="8967" max="8967" width="19.42578125" customWidth="1"/>
    <col min="8968" max="8969" width="17.7109375" customWidth="1"/>
    <col min="8970" max="8970" width="24.7109375" customWidth="1"/>
    <col min="8971" max="8971" width="17.7109375" customWidth="1"/>
    <col min="9217" max="9217" width="65.140625" customWidth="1"/>
    <col min="9218" max="9222" width="17.7109375" customWidth="1"/>
    <col min="9223" max="9223" width="19.42578125" customWidth="1"/>
    <col min="9224" max="9225" width="17.7109375" customWidth="1"/>
    <col min="9226" max="9226" width="24.7109375" customWidth="1"/>
    <col min="9227" max="9227" width="17.7109375" customWidth="1"/>
    <col min="9473" max="9473" width="65.140625" customWidth="1"/>
    <col min="9474" max="9478" width="17.7109375" customWidth="1"/>
    <col min="9479" max="9479" width="19.42578125" customWidth="1"/>
    <col min="9480" max="9481" width="17.7109375" customWidth="1"/>
    <col min="9482" max="9482" width="24.7109375" customWidth="1"/>
    <col min="9483" max="9483" width="17.7109375" customWidth="1"/>
    <col min="9729" max="9729" width="65.140625" customWidth="1"/>
    <col min="9730" max="9734" width="17.7109375" customWidth="1"/>
    <col min="9735" max="9735" width="19.42578125" customWidth="1"/>
    <col min="9736" max="9737" width="17.7109375" customWidth="1"/>
    <col min="9738" max="9738" width="24.7109375" customWidth="1"/>
    <col min="9739" max="9739" width="17.7109375" customWidth="1"/>
    <col min="9985" max="9985" width="65.140625" customWidth="1"/>
    <col min="9986" max="9990" width="17.7109375" customWidth="1"/>
    <col min="9991" max="9991" width="19.42578125" customWidth="1"/>
    <col min="9992" max="9993" width="17.7109375" customWidth="1"/>
    <col min="9994" max="9994" width="24.7109375" customWidth="1"/>
    <col min="9995" max="9995" width="17.7109375" customWidth="1"/>
    <col min="10241" max="10241" width="65.140625" customWidth="1"/>
    <col min="10242" max="10246" width="17.7109375" customWidth="1"/>
    <col min="10247" max="10247" width="19.42578125" customWidth="1"/>
    <col min="10248" max="10249" width="17.7109375" customWidth="1"/>
    <col min="10250" max="10250" width="24.7109375" customWidth="1"/>
    <col min="10251" max="10251" width="17.7109375" customWidth="1"/>
    <col min="10497" max="10497" width="65.140625" customWidth="1"/>
    <col min="10498" max="10502" width="17.7109375" customWidth="1"/>
    <col min="10503" max="10503" width="19.42578125" customWidth="1"/>
    <col min="10504" max="10505" width="17.7109375" customWidth="1"/>
    <col min="10506" max="10506" width="24.7109375" customWidth="1"/>
    <col min="10507" max="10507" width="17.7109375" customWidth="1"/>
    <col min="10753" max="10753" width="65.140625" customWidth="1"/>
    <col min="10754" max="10758" width="17.7109375" customWidth="1"/>
    <col min="10759" max="10759" width="19.42578125" customWidth="1"/>
    <col min="10760" max="10761" width="17.7109375" customWidth="1"/>
    <col min="10762" max="10762" width="24.7109375" customWidth="1"/>
    <col min="10763" max="10763" width="17.7109375" customWidth="1"/>
    <col min="11009" max="11009" width="65.140625" customWidth="1"/>
    <col min="11010" max="11014" width="17.7109375" customWidth="1"/>
    <col min="11015" max="11015" width="19.42578125" customWidth="1"/>
    <col min="11016" max="11017" width="17.7109375" customWidth="1"/>
    <col min="11018" max="11018" width="24.7109375" customWidth="1"/>
    <col min="11019" max="11019" width="17.7109375" customWidth="1"/>
    <col min="11265" max="11265" width="65.140625" customWidth="1"/>
    <col min="11266" max="11270" width="17.7109375" customWidth="1"/>
    <col min="11271" max="11271" width="19.42578125" customWidth="1"/>
    <col min="11272" max="11273" width="17.7109375" customWidth="1"/>
    <col min="11274" max="11274" width="24.7109375" customWidth="1"/>
    <col min="11275" max="11275" width="17.7109375" customWidth="1"/>
    <col min="11521" max="11521" width="65.140625" customWidth="1"/>
    <col min="11522" max="11526" width="17.7109375" customWidth="1"/>
    <col min="11527" max="11527" width="19.42578125" customWidth="1"/>
    <col min="11528" max="11529" width="17.7109375" customWidth="1"/>
    <col min="11530" max="11530" width="24.7109375" customWidth="1"/>
    <col min="11531" max="11531" width="17.7109375" customWidth="1"/>
    <col min="11777" max="11777" width="65.140625" customWidth="1"/>
    <col min="11778" max="11782" width="17.7109375" customWidth="1"/>
    <col min="11783" max="11783" width="19.42578125" customWidth="1"/>
    <col min="11784" max="11785" width="17.7109375" customWidth="1"/>
    <col min="11786" max="11786" width="24.7109375" customWidth="1"/>
    <col min="11787" max="11787" width="17.7109375" customWidth="1"/>
    <col min="12033" max="12033" width="65.140625" customWidth="1"/>
    <col min="12034" max="12038" width="17.7109375" customWidth="1"/>
    <col min="12039" max="12039" width="19.42578125" customWidth="1"/>
    <col min="12040" max="12041" width="17.7109375" customWidth="1"/>
    <col min="12042" max="12042" width="24.7109375" customWidth="1"/>
    <col min="12043" max="12043" width="17.7109375" customWidth="1"/>
    <col min="12289" max="12289" width="65.140625" customWidth="1"/>
    <col min="12290" max="12294" width="17.7109375" customWidth="1"/>
    <col min="12295" max="12295" width="19.42578125" customWidth="1"/>
    <col min="12296" max="12297" width="17.7109375" customWidth="1"/>
    <col min="12298" max="12298" width="24.7109375" customWidth="1"/>
    <col min="12299" max="12299" width="17.7109375" customWidth="1"/>
    <col min="12545" max="12545" width="65.140625" customWidth="1"/>
    <col min="12546" max="12550" width="17.7109375" customWidth="1"/>
    <col min="12551" max="12551" width="19.42578125" customWidth="1"/>
    <col min="12552" max="12553" width="17.7109375" customWidth="1"/>
    <col min="12554" max="12554" width="24.7109375" customWidth="1"/>
    <col min="12555" max="12555" width="17.7109375" customWidth="1"/>
    <col min="12801" max="12801" width="65.140625" customWidth="1"/>
    <col min="12802" max="12806" width="17.7109375" customWidth="1"/>
    <col min="12807" max="12807" width="19.42578125" customWidth="1"/>
    <col min="12808" max="12809" width="17.7109375" customWidth="1"/>
    <col min="12810" max="12810" width="24.7109375" customWidth="1"/>
    <col min="12811" max="12811" width="17.7109375" customWidth="1"/>
    <col min="13057" max="13057" width="65.140625" customWidth="1"/>
    <col min="13058" max="13062" width="17.7109375" customWidth="1"/>
    <col min="13063" max="13063" width="19.42578125" customWidth="1"/>
    <col min="13064" max="13065" width="17.7109375" customWidth="1"/>
    <col min="13066" max="13066" width="24.7109375" customWidth="1"/>
    <col min="13067" max="13067" width="17.7109375" customWidth="1"/>
    <col min="13313" max="13313" width="65.140625" customWidth="1"/>
    <col min="13314" max="13318" width="17.7109375" customWidth="1"/>
    <col min="13319" max="13319" width="19.42578125" customWidth="1"/>
    <col min="13320" max="13321" width="17.7109375" customWidth="1"/>
    <col min="13322" max="13322" width="24.7109375" customWidth="1"/>
    <col min="13323" max="13323" width="17.7109375" customWidth="1"/>
    <col min="13569" max="13569" width="65.140625" customWidth="1"/>
    <col min="13570" max="13574" width="17.7109375" customWidth="1"/>
    <col min="13575" max="13575" width="19.42578125" customWidth="1"/>
    <col min="13576" max="13577" width="17.7109375" customWidth="1"/>
    <col min="13578" max="13578" width="24.7109375" customWidth="1"/>
    <col min="13579" max="13579" width="17.7109375" customWidth="1"/>
    <col min="13825" max="13825" width="65.140625" customWidth="1"/>
    <col min="13826" max="13830" width="17.7109375" customWidth="1"/>
    <col min="13831" max="13831" width="19.42578125" customWidth="1"/>
    <col min="13832" max="13833" width="17.7109375" customWidth="1"/>
    <col min="13834" max="13834" width="24.7109375" customWidth="1"/>
    <col min="13835" max="13835" width="17.7109375" customWidth="1"/>
    <col min="14081" max="14081" width="65.140625" customWidth="1"/>
    <col min="14082" max="14086" width="17.7109375" customWidth="1"/>
    <col min="14087" max="14087" width="19.42578125" customWidth="1"/>
    <col min="14088" max="14089" width="17.7109375" customWidth="1"/>
    <col min="14090" max="14090" width="24.7109375" customWidth="1"/>
    <col min="14091" max="14091" width="17.7109375" customWidth="1"/>
    <col min="14337" max="14337" width="65.140625" customWidth="1"/>
    <col min="14338" max="14342" width="17.7109375" customWidth="1"/>
    <col min="14343" max="14343" width="19.42578125" customWidth="1"/>
    <col min="14344" max="14345" width="17.7109375" customWidth="1"/>
    <col min="14346" max="14346" width="24.7109375" customWidth="1"/>
    <col min="14347" max="14347" width="17.7109375" customWidth="1"/>
    <col min="14593" max="14593" width="65.140625" customWidth="1"/>
    <col min="14594" max="14598" width="17.7109375" customWidth="1"/>
    <col min="14599" max="14599" width="19.42578125" customWidth="1"/>
    <col min="14600" max="14601" width="17.7109375" customWidth="1"/>
    <col min="14602" max="14602" width="24.7109375" customWidth="1"/>
    <col min="14603" max="14603" width="17.7109375" customWidth="1"/>
    <col min="14849" max="14849" width="65.140625" customWidth="1"/>
    <col min="14850" max="14854" width="17.7109375" customWidth="1"/>
    <col min="14855" max="14855" width="19.42578125" customWidth="1"/>
    <col min="14856" max="14857" width="17.7109375" customWidth="1"/>
    <col min="14858" max="14858" width="24.7109375" customWidth="1"/>
    <col min="14859" max="14859" width="17.7109375" customWidth="1"/>
    <col min="15105" max="15105" width="65.140625" customWidth="1"/>
    <col min="15106" max="15110" width="17.7109375" customWidth="1"/>
    <col min="15111" max="15111" width="19.42578125" customWidth="1"/>
    <col min="15112" max="15113" width="17.7109375" customWidth="1"/>
    <col min="15114" max="15114" width="24.7109375" customWidth="1"/>
    <col min="15115" max="15115" width="17.7109375" customWidth="1"/>
    <col min="15361" max="15361" width="65.140625" customWidth="1"/>
    <col min="15362" max="15366" width="17.7109375" customWidth="1"/>
    <col min="15367" max="15367" width="19.42578125" customWidth="1"/>
    <col min="15368" max="15369" width="17.7109375" customWidth="1"/>
    <col min="15370" max="15370" width="24.7109375" customWidth="1"/>
    <col min="15371" max="15371" width="17.7109375" customWidth="1"/>
    <col min="15617" max="15617" width="65.140625" customWidth="1"/>
    <col min="15618" max="15622" width="17.7109375" customWidth="1"/>
    <col min="15623" max="15623" width="19.42578125" customWidth="1"/>
    <col min="15624" max="15625" width="17.7109375" customWidth="1"/>
    <col min="15626" max="15626" width="24.7109375" customWidth="1"/>
    <col min="15627" max="15627" width="17.7109375" customWidth="1"/>
    <col min="15873" max="15873" width="65.140625" customWidth="1"/>
    <col min="15874" max="15878" width="17.7109375" customWidth="1"/>
    <col min="15879" max="15879" width="19.42578125" customWidth="1"/>
    <col min="15880" max="15881" width="17.7109375" customWidth="1"/>
    <col min="15882" max="15882" width="24.7109375" customWidth="1"/>
    <col min="15883" max="15883" width="17.7109375" customWidth="1"/>
    <col min="16129" max="16129" width="65.140625" customWidth="1"/>
    <col min="16130" max="16134" width="17.7109375" customWidth="1"/>
    <col min="16135" max="16135" width="19.42578125" customWidth="1"/>
    <col min="16136" max="16137" width="17.7109375" customWidth="1"/>
    <col min="16138" max="16138" width="24.7109375" customWidth="1"/>
    <col min="16139" max="16139" width="17.7109375" customWidth="1"/>
  </cols>
  <sheetData>
    <row r="1" spans="1:11" s="177" customFormat="1" ht="21" customHeight="1">
      <c r="A1" s="175" t="s">
        <v>235</v>
      </c>
      <c r="B1" s="176"/>
    </row>
    <row r="2" spans="1:11" s="177" customFormat="1" ht="19.5" customHeight="1">
      <c r="A2" s="178" t="s">
        <v>416</v>
      </c>
      <c r="B2" s="176"/>
      <c r="C2" s="179"/>
      <c r="D2" s="179"/>
      <c r="E2" s="179"/>
      <c r="F2" s="179"/>
      <c r="G2" s="179"/>
      <c r="H2" s="179"/>
      <c r="I2" s="179"/>
      <c r="J2" s="179"/>
      <c r="K2" s="180" t="s">
        <v>234</v>
      </c>
    </row>
    <row r="3" spans="1:11" s="177" customFormat="1" ht="22.5" customHeight="1">
      <c r="A3" s="181" t="s">
        <v>417</v>
      </c>
      <c r="B3" s="176"/>
      <c r="C3" s="179"/>
      <c r="D3" s="179"/>
      <c r="E3" s="179"/>
      <c r="F3" s="179"/>
      <c r="G3" s="179"/>
      <c r="H3" s="179"/>
      <c r="I3" s="179"/>
      <c r="J3" s="179"/>
      <c r="K3" s="179"/>
    </row>
    <row r="4" spans="1:11" s="177" customFormat="1" ht="25.5" customHeight="1">
      <c r="A4" s="175" t="s">
        <v>418</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ht="18.75" customHeight="1">
      <c r="A6" s="248"/>
      <c r="D6" s="249"/>
      <c r="E6" s="249"/>
      <c r="F6" s="249"/>
      <c r="G6" s="248"/>
      <c r="H6" s="249"/>
      <c r="I6" s="249"/>
      <c r="K6" s="249"/>
    </row>
    <row r="7" spans="1:11" s="177" customFormat="1">
      <c r="A7" s="182" t="s">
        <v>228</v>
      </c>
      <c r="B7" s="182" t="s">
        <v>227</v>
      </c>
      <c r="C7" s="182" t="s">
        <v>226</v>
      </c>
      <c r="D7" s="182"/>
      <c r="E7" s="183" t="s">
        <v>225</v>
      </c>
      <c r="F7" s="183"/>
      <c r="G7" s="182" t="s">
        <v>224</v>
      </c>
      <c r="H7" s="1381" t="s">
        <v>223</v>
      </c>
      <c r="I7" s="1381"/>
      <c r="J7" s="182" t="s">
        <v>222</v>
      </c>
      <c r="K7" s="182" t="s">
        <v>221</v>
      </c>
    </row>
    <row r="8" spans="1:11" s="186" customFormat="1">
      <c r="A8" s="1382" t="s">
        <v>220</v>
      </c>
      <c r="B8" s="1379" t="s">
        <v>219</v>
      </c>
      <c r="C8" s="1379" t="s">
        <v>218</v>
      </c>
      <c r="D8" s="1379" t="s">
        <v>217</v>
      </c>
      <c r="E8" s="1379" t="s">
        <v>216</v>
      </c>
      <c r="F8" s="1379"/>
      <c r="G8" s="1379" t="s">
        <v>215</v>
      </c>
      <c r="H8" s="1379" t="s">
        <v>214</v>
      </c>
      <c r="I8" s="1379"/>
      <c r="J8" s="1379" t="s">
        <v>240</v>
      </c>
      <c r="K8" s="1380" t="s">
        <v>212</v>
      </c>
    </row>
    <row r="9" spans="1:11" s="186" customFormat="1">
      <c r="A9" s="1382"/>
      <c r="B9" s="1379"/>
      <c r="C9" s="1379"/>
      <c r="D9" s="1379"/>
      <c r="E9" s="187" t="s">
        <v>211</v>
      </c>
      <c r="F9" s="187" t="s">
        <v>210</v>
      </c>
      <c r="G9" s="1379"/>
      <c r="H9" s="187" t="s">
        <v>211</v>
      </c>
      <c r="I9" s="187" t="s">
        <v>210</v>
      </c>
      <c r="J9" s="1379"/>
      <c r="K9" s="1380"/>
    </row>
    <row r="10" spans="1:11" ht="15.95" customHeight="1">
      <c r="A10" s="188" t="s">
        <v>208</v>
      </c>
      <c r="B10" s="189"/>
      <c r="C10" s="189"/>
      <c r="D10" s="189"/>
      <c r="E10" s="189"/>
      <c r="F10" s="189"/>
      <c r="G10" s="280"/>
      <c r="H10" s="189"/>
      <c r="I10" s="189"/>
      <c r="J10" s="189"/>
      <c r="K10" s="190">
        <f>SUM(K11)</f>
        <v>0</v>
      </c>
    </row>
    <row r="11" spans="1:11" ht="19.5" customHeight="1">
      <c r="A11" s="192"/>
      <c r="B11" s="193"/>
      <c r="C11" s="193"/>
      <c r="D11" s="194"/>
      <c r="E11" s="194"/>
      <c r="F11" s="194"/>
      <c r="G11" s="281"/>
      <c r="H11" s="193"/>
      <c r="I11" s="193"/>
      <c r="J11" s="193"/>
      <c r="K11" s="195"/>
    </row>
    <row r="12" spans="1:11" ht="15.95" customHeight="1">
      <c r="A12" s="188" t="s">
        <v>207</v>
      </c>
      <c r="B12" s="189"/>
      <c r="C12" s="189"/>
      <c r="D12" s="196"/>
      <c r="E12" s="196"/>
      <c r="F12" s="196"/>
      <c r="G12" s="280"/>
      <c r="H12" s="189"/>
      <c r="I12" s="189"/>
      <c r="J12" s="189"/>
      <c r="K12" s="190">
        <f>SUM(K13:K24)</f>
        <v>383855648.39999998</v>
      </c>
    </row>
    <row r="13" spans="1:11" ht="15.95" customHeight="1">
      <c r="A13" s="282" t="s">
        <v>419</v>
      </c>
      <c r="B13" s="282" t="s">
        <v>420</v>
      </c>
      <c r="C13" s="282" t="s">
        <v>345</v>
      </c>
      <c r="D13" s="283">
        <v>0.02</v>
      </c>
      <c r="E13" s="284">
        <v>0.01</v>
      </c>
      <c r="F13" s="285">
        <v>8.5000000000000006E-2</v>
      </c>
      <c r="G13" s="286"/>
      <c r="H13" s="237"/>
      <c r="I13" s="237"/>
      <c r="J13" s="235" t="s">
        <v>421</v>
      </c>
      <c r="K13" s="195">
        <v>222954862.66</v>
      </c>
    </row>
    <row r="14" spans="1:11" ht="15.95" customHeight="1">
      <c r="A14" s="282" t="s">
        <v>422</v>
      </c>
      <c r="B14" s="287" t="s">
        <v>423</v>
      </c>
      <c r="C14" s="287" t="s">
        <v>345</v>
      </c>
      <c r="D14" s="283">
        <v>0.15</v>
      </c>
      <c r="E14" s="236"/>
      <c r="F14" s="236"/>
      <c r="G14" s="288"/>
      <c r="H14" s="237"/>
      <c r="I14" s="237"/>
      <c r="J14" s="235" t="s">
        <v>421</v>
      </c>
      <c r="K14" s="195">
        <v>39349966.18</v>
      </c>
    </row>
    <row r="15" spans="1:11" ht="15.95" customHeight="1">
      <c r="A15" s="282" t="s">
        <v>424</v>
      </c>
      <c r="B15" s="287"/>
      <c r="C15" s="287" t="s">
        <v>345</v>
      </c>
      <c r="D15" s="287"/>
      <c r="E15" s="236"/>
      <c r="F15" s="236"/>
      <c r="G15" s="288"/>
      <c r="H15" s="237">
        <v>164</v>
      </c>
      <c r="I15" s="237">
        <v>688.8</v>
      </c>
      <c r="J15" s="235" t="s">
        <v>421</v>
      </c>
      <c r="K15" s="195">
        <v>37477900.579999998</v>
      </c>
    </row>
    <row r="16" spans="1:11" ht="15.95" customHeight="1">
      <c r="A16" s="282" t="s">
        <v>347</v>
      </c>
      <c r="B16" s="287" t="s">
        <v>366</v>
      </c>
      <c r="C16" s="287" t="s">
        <v>345</v>
      </c>
      <c r="D16" s="289"/>
      <c r="E16" s="285">
        <v>4.0000000000000001E-3</v>
      </c>
      <c r="F16" s="284">
        <v>0.01</v>
      </c>
      <c r="G16" s="286"/>
      <c r="H16" s="237"/>
      <c r="I16" s="237"/>
      <c r="J16" s="235" t="s">
        <v>421</v>
      </c>
      <c r="K16" s="195">
        <v>37065150.100000001</v>
      </c>
    </row>
    <row r="17" spans="1:11" ht="15.95" customHeight="1">
      <c r="A17" s="282" t="s">
        <v>425</v>
      </c>
      <c r="B17" s="287" t="s">
        <v>420</v>
      </c>
      <c r="C17" s="287" t="s">
        <v>345</v>
      </c>
      <c r="D17" s="287"/>
      <c r="E17" s="236">
        <v>0.06</v>
      </c>
      <c r="F17" s="236">
        <v>0.16</v>
      </c>
      <c r="G17" s="288"/>
      <c r="H17" s="237"/>
      <c r="I17" s="237"/>
      <c r="J17" s="235" t="s">
        <v>421</v>
      </c>
      <c r="K17" s="195">
        <v>31867256.760000002</v>
      </c>
    </row>
    <row r="18" spans="1:11" ht="15.95" customHeight="1">
      <c r="A18" s="282" t="s">
        <v>426</v>
      </c>
      <c r="B18" s="287" t="s">
        <v>427</v>
      </c>
      <c r="C18" s="287" t="s">
        <v>345</v>
      </c>
      <c r="D18" s="287"/>
      <c r="E18" s="236"/>
      <c r="F18" s="236"/>
      <c r="G18" s="288"/>
      <c r="H18" s="237"/>
      <c r="I18" s="237"/>
      <c r="J18" s="235" t="s">
        <v>421</v>
      </c>
      <c r="K18" s="195">
        <v>12435270.33</v>
      </c>
    </row>
    <row r="19" spans="1:11" ht="15.95" customHeight="1">
      <c r="A19" s="282" t="s">
        <v>428</v>
      </c>
      <c r="B19" s="287"/>
      <c r="C19" s="287" t="s">
        <v>345</v>
      </c>
      <c r="D19" s="289"/>
      <c r="E19" s="236"/>
      <c r="F19" s="236"/>
      <c r="G19" s="288"/>
      <c r="H19" s="237">
        <v>984</v>
      </c>
      <c r="I19" s="237">
        <v>1312</v>
      </c>
      <c r="J19" s="235" t="s">
        <v>421</v>
      </c>
      <c r="K19" s="195">
        <v>1021195</v>
      </c>
    </row>
    <row r="20" spans="1:11" ht="15.95" customHeight="1">
      <c r="A20" s="282" t="s">
        <v>429</v>
      </c>
      <c r="B20" s="287"/>
      <c r="C20" s="287" t="s">
        <v>345</v>
      </c>
      <c r="D20" s="287"/>
      <c r="E20" s="236"/>
      <c r="F20" s="236"/>
      <c r="G20" s="288">
        <v>1312</v>
      </c>
      <c r="H20" s="237"/>
      <c r="I20" s="237"/>
      <c r="J20" s="235" t="s">
        <v>421</v>
      </c>
      <c r="K20" s="195">
        <v>930275.9</v>
      </c>
    </row>
    <row r="21" spans="1:11" ht="15.95" customHeight="1">
      <c r="A21" s="282" t="s">
        <v>373</v>
      </c>
      <c r="B21" s="287" t="s">
        <v>420</v>
      </c>
      <c r="C21" s="287" t="s">
        <v>430</v>
      </c>
      <c r="D21" s="283">
        <v>0.1</v>
      </c>
      <c r="E21" s="236"/>
      <c r="F21" s="236"/>
      <c r="G21" s="288"/>
      <c r="H21" s="237"/>
      <c r="I21" s="237"/>
      <c r="J21" s="235" t="s">
        <v>421</v>
      </c>
      <c r="K21" s="195">
        <v>510044.39</v>
      </c>
    </row>
    <row r="22" spans="1:11" ht="15.95" customHeight="1">
      <c r="A22" s="282" t="s">
        <v>431</v>
      </c>
      <c r="B22" s="287"/>
      <c r="C22" s="287" t="s">
        <v>345</v>
      </c>
      <c r="D22" s="287"/>
      <c r="E22" s="236"/>
      <c r="F22" s="236"/>
      <c r="G22" s="286">
        <v>656</v>
      </c>
      <c r="H22" s="237"/>
      <c r="I22" s="237"/>
      <c r="J22" s="235" t="s">
        <v>421</v>
      </c>
      <c r="K22" s="195">
        <v>243726.5</v>
      </c>
    </row>
    <row r="23" spans="1:11" s="177" customFormat="1" ht="15.95" customHeight="1">
      <c r="A23" s="282"/>
      <c r="B23" s="287"/>
      <c r="C23" s="287"/>
      <c r="D23" s="287"/>
      <c r="E23" s="236"/>
      <c r="F23" s="236"/>
      <c r="G23" s="288"/>
      <c r="H23" s="237"/>
      <c r="I23" s="237"/>
      <c r="J23" s="235"/>
      <c r="K23" s="195"/>
    </row>
    <row r="24" spans="1:11" s="177" customFormat="1" ht="15.95" customHeight="1">
      <c r="A24" s="282"/>
      <c r="B24" s="287"/>
      <c r="C24" s="287"/>
      <c r="D24" s="289"/>
      <c r="E24" s="236"/>
      <c r="F24" s="236"/>
      <c r="G24" s="288"/>
      <c r="H24" s="237"/>
      <c r="I24" s="237"/>
      <c r="J24" s="235"/>
      <c r="K24" s="195"/>
    </row>
    <row r="25" spans="1:11" s="177" customFormat="1" ht="15.95" customHeight="1">
      <c r="A25" s="209" t="s">
        <v>191</v>
      </c>
      <c r="B25" s="210"/>
      <c r="C25" s="210"/>
      <c r="D25" s="211"/>
      <c r="E25" s="211"/>
      <c r="F25" s="211"/>
      <c r="G25" s="290"/>
      <c r="H25" s="210"/>
      <c r="I25" s="291"/>
      <c r="J25" s="210"/>
      <c r="K25" s="213">
        <f>SUM(K26:K27)</f>
        <v>29703131.77</v>
      </c>
    </row>
    <row r="26" spans="1:11" ht="15.95" customHeight="1">
      <c r="A26" s="282" t="s">
        <v>432</v>
      </c>
      <c r="B26" s="287" t="s">
        <v>433</v>
      </c>
      <c r="C26" s="287" t="s">
        <v>430</v>
      </c>
      <c r="D26" s="287"/>
      <c r="E26" s="236"/>
      <c r="F26" s="236"/>
      <c r="G26" s="288"/>
      <c r="H26" s="237"/>
      <c r="I26" s="237"/>
      <c r="J26" s="235" t="s">
        <v>421</v>
      </c>
      <c r="K26" s="219">
        <v>29703131.77</v>
      </c>
    </row>
    <row r="27" spans="1:11" ht="15.95" customHeight="1">
      <c r="A27" s="192"/>
      <c r="B27" s="217"/>
      <c r="C27" s="217"/>
      <c r="D27" s="216"/>
      <c r="E27" s="216"/>
      <c r="F27" s="216"/>
      <c r="G27" s="292"/>
      <c r="H27" s="217"/>
      <c r="I27" s="217"/>
      <c r="J27" s="217"/>
      <c r="K27" s="219"/>
    </row>
    <row r="28" spans="1:11" ht="15.95" customHeight="1">
      <c r="A28" s="188" t="s">
        <v>179</v>
      </c>
      <c r="B28" s="189"/>
      <c r="C28" s="189"/>
      <c r="D28" s="196"/>
      <c r="E28" s="196"/>
      <c r="F28" s="196"/>
      <c r="G28" s="280"/>
      <c r="H28" s="189"/>
      <c r="I28" s="189"/>
      <c r="J28" s="189"/>
      <c r="K28" s="190">
        <f>SUM(K29:K34)</f>
        <v>13451180.590000002</v>
      </c>
    </row>
    <row r="29" spans="1:11" ht="15.95" customHeight="1">
      <c r="A29" s="282" t="s">
        <v>434</v>
      </c>
      <c r="B29" s="287"/>
      <c r="C29" s="287" t="s">
        <v>430</v>
      </c>
      <c r="D29" s="287"/>
      <c r="E29" s="236"/>
      <c r="F29" s="236"/>
      <c r="G29" s="288"/>
      <c r="H29" s="237">
        <v>82</v>
      </c>
      <c r="I29" s="237">
        <v>6560</v>
      </c>
      <c r="J29" s="235" t="s">
        <v>421</v>
      </c>
      <c r="K29" s="195">
        <v>6844628.71</v>
      </c>
    </row>
    <row r="30" spans="1:11" ht="15.95" customHeight="1">
      <c r="A30" s="282" t="s">
        <v>435</v>
      </c>
      <c r="B30" s="287" t="s">
        <v>251</v>
      </c>
      <c r="C30" s="287" t="s">
        <v>430</v>
      </c>
      <c r="D30" s="293">
        <v>2E-3</v>
      </c>
      <c r="E30" s="285">
        <v>0</v>
      </c>
      <c r="F30" s="285">
        <v>0.3</v>
      </c>
      <c r="G30" s="288">
        <v>24600</v>
      </c>
      <c r="H30" s="237"/>
      <c r="I30" s="237"/>
      <c r="J30" s="235" t="s">
        <v>421</v>
      </c>
      <c r="K30" s="195">
        <v>4602280.0199999996</v>
      </c>
    </row>
    <row r="31" spans="1:11" ht="15.95" customHeight="1">
      <c r="A31" s="282" t="s">
        <v>436</v>
      </c>
      <c r="B31" s="287"/>
      <c r="C31" s="287" t="s">
        <v>430</v>
      </c>
      <c r="D31" s="287"/>
      <c r="E31" s="236"/>
      <c r="F31" s="236"/>
      <c r="G31" s="288"/>
      <c r="H31" s="237">
        <v>328</v>
      </c>
      <c r="I31" s="237">
        <v>9840</v>
      </c>
      <c r="J31" s="235" t="s">
        <v>421</v>
      </c>
      <c r="K31" s="195">
        <v>1019608</v>
      </c>
    </row>
    <row r="32" spans="1:11" ht="15.95" customHeight="1">
      <c r="A32" s="282" t="s">
        <v>437</v>
      </c>
      <c r="B32" s="287" t="s">
        <v>251</v>
      </c>
      <c r="C32" s="287" t="s">
        <v>345</v>
      </c>
      <c r="D32" s="287"/>
      <c r="E32" s="236"/>
      <c r="F32" s="236"/>
      <c r="G32" s="288"/>
      <c r="H32" s="237">
        <v>65.599999999999994</v>
      </c>
      <c r="I32" s="237">
        <v>656</v>
      </c>
      <c r="J32" s="235" t="s">
        <v>421</v>
      </c>
      <c r="K32" s="195">
        <v>519829.46</v>
      </c>
    </row>
    <row r="33" spans="1:11" ht="15.95" customHeight="1">
      <c r="A33" s="282" t="s">
        <v>158</v>
      </c>
      <c r="B33" s="287"/>
      <c r="C33" s="287" t="s">
        <v>352</v>
      </c>
      <c r="D33" s="287"/>
      <c r="E33" s="236"/>
      <c r="F33" s="236"/>
      <c r="G33" s="288"/>
      <c r="H33" s="237">
        <v>164</v>
      </c>
      <c r="I33" s="237">
        <v>328</v>
      </c>
      <c r="J33" s="235" t="s">
        <v>421</v>
      </c>
      <c r="K33" s="195">
        <v>464834.4</v>
      </c>
    </row>
    <row r="34" spans="1:11" ht="15.95" customHeight="1">
      <c r="A34" s="192"/>
      <c r="B34" s="193"/>
      <c r="C34" s="193"/>
      <c r="D34" s="194"/>
      <c r="E34" s="194"/>
      <c r="F34" s="194"/>
      <c r="G34" s="281"/>
      <c r="H34" s="193"/>
      <c r="I34" s="193"/>
      <c r="J34" s="193"/>
      <c r="K34" s="195"/>
    </row>
    <row r="35" spans="1:11" ht="15.95" customHeight="1">
      <c r="A35" s="188" t="s">
        <v>152</v>
      </c>
      <c r="B35" s="189"/>
      <c r="C35" s="189"/>
      <c r="D35" s="196"/>
      <c r="E35" s="196"/>
      <c r="F35" s="196"/>
      <c r="G35" s="280"/>
      <c r="H35" s="189"/>
      <c r="I35" s="189"/>
      <c r="J35" s="189"/>
      <c r="K35" s="190">
        <f>SUM(K36:K38)</f>
        <v>5876386.4900000002</v>
      </c>
    </row>
    <row r="36" spans="1:11" ht="15.95" customHeight="1">
      <c r="A36" s="282" t="s">
        <v>165</v>
      </c>
      <c r="B36" s="287"/>
      <c r="C36" s="287" t="s">
        <v>438</v>
      </c>
      <c r="D36" s="287"/>
      <c r="E36" s="236"/>
      <c r="F36" s="236"/>
      <c r="G36" s="288"/>
      <c r="H36" s="237">
        <v>656</v>
      </c>
      <c r="I36" s="237">
        <v>29520</v>
      </c>
      <c r="J36" s="235" t="s">
        <v>421</v>
      </c>
      <c r="K36" s="195">
        <v>5850566.4900000002</v>
      </c>
    </row>
    <row r="37" spans="1:11" ht="15.95" customHeight="1">
      <c r="A37" s="282" t="s">
        <v>439</v>
      </c>
      <c r="B37" s="287"/>
      <c r="C37" s="287" t="s">
        <v>345</v>
      </c>
      <c r="D37" s="287"/>
      <c r="E37" s="236"/>
      <c r="F37" s="236"/>
      <c r="G37" s="286"/>
      <c r="H37" s="237">
        <v>500</v>
      </c>
      <c r="I37" s="237"/>
      <c r="J37" s="235" t="s">
        <v>421</v>
      </c>
      <c r="K37" s="195">
        <v>25820</v>
      </c>
    </row>
    <row r="38" spans="1:11" ht="15.95" customHeight="1">
      <c r="A38" s="282"/>
      <c r="B38" s="287"/>
      <c r="C38" s="287"/>
      <c r="D38" s="287"/>
      <c r="E38" s="236"/>
      <c r="F38" s="236"/>
      <c r="G38" s="286"/>
      <c r="H38" s="237"/>
      <c r="I38" s="237"/>
      <c r="J38" s="235"/>
      <c r="K38" s="195"/>
    </row>
    <row r="39" spans="1:11" ht="15.95" customHeight="1">
      <c r="A39" s="282"/>
      <c r="B39" s="287"/>
      <c r="C39" s="287"/>
      <c r="D39" s="287"/>
      <c r="E39" s="236"/>
      <c r="F39" s="236"/>
      <c r="G39" s="286"/>
      <c r="H39" s="237"/>
      <c r="I39" s="237"/>
      <c r="J39" s="235"/>
      <c r="K39" s="294"/>
    </row>
    <row r="40" spans="1:11" ht="15.95" customHeight="1">
      <c r="A40" s="256"/>
      <c r="B40" s="193"/>
      <c r="C40" s="193"/>
      <c r="D40" s="194"/>
      <c r="E40" s="194"/>
      <c r="F40" s="194"/>
      <c r="G40" s="281"/>
      <c r="H40" s="193"/>
      <c r="I40" s="193"/>
      <c r="J40" s="193"/>
      <c r="K40" s="294"/>
    </row>
    <row r="41" spans="1:11" ht="15.95" customHeight="1">
      <c r="A41" s="188" t="s">
        <v>151</v>
      </c>
      <c r="B41" s="189"/>
      <c r="C41" s="189"/>
      <c r="D41" s="196"/>
      <c r="E41" s="196"/>
      <c r="F41" s="196"/>
      <c r="G41" s="280"/>
      <c r="H41" s="189"/>
      <c r="I41" s="189"/>
      <c r="J41" s="189"/>
      <c r="K41" s="190">
        <f>SUM(K42:K44)</f>
        <v>22714466.469999999</v>
      </c>
    </row>
    <row r="42" spans="1:11" s="177" customFormat="1" ht="15.95" customHeight="1">
      <c r="A42" s="282" t="s">
        <v>440</v>
      </c>
      <c r="B42" s="287"/>
      <c r="C42" s="287" t="s">
        <v>430</v>
      </c>
      <c r="D42" s="289"/>
      <c r="E42" s="236"/>
      <c r="F42" s="236"/>
      <c r="G42" s="288"/>
      <c r="H42" s="237"/>
      <c r="I42" s="237"/>
      <c r="J42" s="235" t="s">
        <v>421</v>
      </c>
      <c r="K42" s="195">
        <v>14897124</v>
      </c>
    </row>
    <row r="43" spans="1:11" s="177" customFormat="1" ht="15.95" customHeight="1">
      <c r="A43" s="282" t="s">
        <v>396</v>
      </c>
      <c r="B43" s="287" t="s">
        <v>441</v>
      </c>
      <c r="C43" s="287" t="s">
        <v>345</v>
      </c>
      <c r="D43" s="283">
        <v>0.36</v>
      </c>
      <c r="E43" s="236"/>
      <c r="F43" s="236"/>
      <c r="G43" s="288">
        <v>114</v>
      </c>
      <c r="H43" s="237"/>
      <c r="I43" s="237"/>
      <c r="J43" s="235" t="s">
        <v>421</v>
      </c>
      <c r="K43" s="195">
        <v>7817342.4699999997</v>
      </c>
    </row>
    <row r="44" spans="1:11" ht="15.95" customHeight="1">
      <c r="A44" s="256"/>
      <c r="B44" s="193"/>
      <c r="C44" s="193"/>
      <c r="D44" s="194"/>
      <c r="E44" s="194"/>
      <c r="F44" s="194"/>
      <c r="G44" s="281"/>
      <c r="H44" s="193"/>
      <c r="I44" s="193"/>
      <c r="J44" s="193"/>
      <c r="K44" s="195"/>
    </row>
    <row r="45" spans="1:11" ht="15.95" customHeight="1">
      <c r="A45" s="209" t="s">
        <v>137</v>
      </c>
      <c r="B45" s="210"/>
      <c r="C45" s="210"/>
      <c r="D45" s="211"/>
      <c r="E45" s="211"/>
      <c r="F45" s="211"/>
      <c r="G45" s="290"/>
      <c r="H45" s="210"/>
      <c r="I45" s="210"/>
      <c r="J45" s="210"/>
      <c r="K45" s="213">
        <f>+K46+K47</f>
        <v>3974766.14</v>
      </c>
    </row>
    <row r="46" spans="1:11" ht="15.95" customHeight="1">
      <c r="A46" s="282" t="s">
        <v>442</v>
      </c>
      <c r="B46" s="217"/>
      <c r="C46" s="287" t="s">
        <v>345</v>
      </c>
      <c r="D46" s="216"/>
      <c r="E46" s="216"/>
      <c r="F46" s="216"/>
      <c r="G46" s="292"/>
      <c r="H46" s="217">
        <v>492</v>
      </c>
      <c r="I46" s="217">
        <v>14760</v>
      </c>
      <c r="J46" s="235" t="s">
        <v>421</v>
      </c>
      <c r="K46" s="219">
        <v>3559866.14</v>
      </c>
    </row>
    <row r="47" spans="1:11">
      <c r="A47" s="282" t="s">
        <v>443</v>
      </c>
      <c r="B47" s="217"/>
      <c r="C47" s="287" t="s">
        <v>345</v>
      </c>
      <c r="D47" s="216"/>
      <c r="E47" s="216"/>
      <c r="F47" s="216"/>
      <c r="G47" s="292"/>
      <c r="H47" s="217">
        <v>1000</v>
      </c>
      <c r="I47" s="217">
        <v>2000</v>
      </c>
      <c r="J47" s="235" t="s">
        <v>421</v>
      </c>
      <c r="K47" s="195">
        <v>414900</v>
      </c>
    </row>
    <row r="48" spans="1:11">
      <c r="A48" s="282"/>
      <c r="B48" s="217"/>
      <c r="C48" s="217"/>
      <c r="D48" s="216"/>
      <c r="E48" s="216"/>
      <c r="F48" s="216"/>
      <c r="G48" s="292"/>
      <c r="H48" s="217"/>
      <c r="I48" s="217"/>
      <c r="J48" s="217"/>
      <c r="K48" s="195"/>
    </row>
    <row r="49" spans="1:11">
      <c r="A49" s="188" t="s">
        <v>136</v>
      </c>
      <c r="B49" s="189"/>
      <c r="C49" s="189"/>
      <c r="D49" s="196"/>
      <c r="E49" s="196"/>
      <c r="F49" s="196"/>
      <c r="G49" s="280"/>
      <c r="H49" s="189"/>
      <c r="I49" s="189"/>
      <c r="J49" s="189"/>
      <c r="K49" s="213">
        <f>SUM(K50:K60)</f>
        <v>140948116.45000002</v>
      </c>
    </row>
    <row r="50" spans="1:11">
      <c r="A50" s="282" t="s">
        <v>404</v>
      </c>
      <c r="B50" s="287"/>
      <c r="C50" s="287"/>
      <c r="D50" s="287"/>
      <c r="E50" s="236"/>
      <c r="F50" s="236"/>
      <c r="G50" s="286"/>
      <c r="H50" s="193"/>
      <c r="I50" s="193"/>
      <c r="J50" s="235" t="s">
        <v>421</v>
      </c>
      <c r="K50" s="219">
        <v>52377225.369999997</v>
      </c>
    </row>
    <row r="51" spans="1:11">
      <c r="A51" s="282" t="s">
        <v>444</v>
      </c>
      <c r="B51" s="287"/>
      <c r="C51" s="287"/>
      <c r="D51" s="287"/>
      <c r="E51" s="236"/>
      <c r="F51" s="236"/>
      <c r="G51" s="286"/>
      <c r="H51" s="237"/>
      <c r="I51" s="237"/>
      <c r="J51" s="235" t="s">
        <v>421</v>
      </c>
      <c r="K51" s="219">
        <v>42759270</v>
      </c>
    </row>
    <row r="52" spans="1:11">
      <c r="A52" s="282" t="s">
        <v>445</v>
      </c>
      <c r="B52" s="287"/>
      <c r="C52" s="287"/>
      <c r="D52" s="287"/>
      <c r="E52" s="236"/>
      <c r="F52" s="236"/>
      <c r="G52" s="286"/>
      <c r="H52" s="237"/>
      <c r="I52" s="237"/>
      <c r="J52" s="235" t="s">
        <v>421</v>
      </c>
      <c r="K52" s="219">
        <v>28822612.07</v>
      </c>
    </row>
    <row r="53" spans="1:11">
      <c r="A53" s="282" t="s">
        <v>446</v>
      </c>
      <c r="B53" s="287"/>
      <c r="C53" s="287"/>
      <c r="D53" s="287"/>
      <c r="E53" s="236"/>
      <c r="F53" s="236"/>
      <c r="G53" s="286"/>
      <c r="H53" s="237"/>
      <c r="I53" s="237"/>
      <c r="J53" s="235" t="s">
        <v>421</v>
      </c>
      <c r="K53" s="219">
        <v>8015082</v>
      </c>
    </row>
    <row r="54" spans="1:11">
      <c r="A54" s="282" t="s">
        <v>447</v>
      </c>
      <c r="B54" s="287"/>
      <c r="C54" s="287"/>
      <c r="D54" s="287"/>
      <c r="E54" s="236"/>
      <c r="F54" s="236"/>
      <c r="G54" s="286"/>
      <c r="H54" s="237"/>
      <c r="I54" s="237"/>
      <c r="J54" s="235" t="s">
        <v>421</v>
      </c>
      <c r="K54" s="219">
        <v>2907000</v>
      </c>
    </row>
    <row r="55" spans="1:11">
      <c r="A55" s="282" t="s">
        <v>448</v>
      </c>
      <c r="B55" s="287"/>
      <c r="C55" s="287"/>
      <c r="D55" s="287"/>
      <c r="E55" s="236"/>
      <c r="F55" s="236"/>
      <c r="G55" s="286"/>
      <c r="H55" s="237"/>
      <c r="I55" s="237"/>
      <c r="J55" s="235" t="s">
        <v>421</v>
      </c>
      <c r="K55" s="219">
        <v>2460277.52</v>
      </c>
    </row>
    <row r="56" spans="1:11">
      <c r="A56" s="282" t="s">
        <v>449</v>
      </c>
      <c r="B56" s="287"/>
      <c r="C56" s="287"/>
      <c r="D56" s="287"/>
      <c r="E56" s="236"/>
      <c r="F56" s="236"/>
      <c r="G56" s="286"/>
      <c r="H56" s="237"/>
      <c r="I56" s="237"/>
      <c r="J56" s="235" t="s">
        <v>421</v>
      </c>
      <c r="K56" s="195">
        <v>1387100</v>
      </c>
    </row>
    <row r="57" spans="1:11">
      <c r="A57" s="282" t="s">
        <v>450</v>
      </c>
      <c r="B57" s="287"/>
      <c r="C57" s="287"/>
      <c r="D57" s="287"/>
      <c r="E57" s="236"/>
      <c r="F57" s="236"/>
      <c r="G57" s="286"/>
      <c r="H57" s="237"/>
      <c r="I57" s="237"/>
      <c r="J57" s="235" t="s">
        <v>421</v>
      </c>
      <c r="K57" s="219">
        <v>1358749.49</v>
      </c>
    </row>
    <row r="58" spans="1:11">
      <c r="A58" s="282" t="s">
        <v>451</v>
      </c>
      <c r="B58" s="287"/>
      <c r="C58" s="287"/>
      <c r="D58" s="287"/>
      <c r="E58" s="236"/>
      <c r="F58" s="236"/>
      <c r="G58" s="286"/>
      <c r="H58" s="237"/>
      <c r="I58" s="237"/>
      <c r="J58" s="235"/>
      <c r="K58" s="219">
        <v>677000</v>
      </c>
    </row>
    <row r="59" spans="1:11">
      <c r="A59" s="282" t="s">
        <v>452</v>
      </c>
      <c r="B59" s="287"/>
      <c r="C59" s="287"/>
      <c r="D59" s="289"/>
      <c r="E59" s="236"/>
      <c r="F59" s="236"/>
      <c r="G59" s="286"/>
      <c r="H59" s="237"/>
      <c r="I59" s="237"/>
      <c r="J59" s="235" t="s">
        <v>421</v>
      </c>
      <c r="K59" s="195">
        <v>183800</v>
      </c>
    </row>
    <row r="60" spans="1:11">
      <c r="A60" s="282" t="s">
        <v>453</v>
      </c>
      <c r="B60" s="287"/>
      <c r="C60" s="287"/>
      <c r="D60" s="287"/>
      <c r="E60" s="236"/>
      <c r="F60" s="236"/>
      <c r="G60" s="286"/>
      <c r="H60" s="237"/>
      <c r="I60" s="237"/>
      <c r="J60" s="235"/>
      <c r="K60" s="219">
        <v>0</v>
      </c>
    </row>
    <row r="61" spans="1:11">
      <c r="A61" s="282"/>
      <c r="B61" s="287"/>
      <c r="C61" s="287"/>
      <c r="D61" s="287"/>
      <c r="E61" s="236"/>
      <c r="F61" s="236"/>
      <c r="G61" s="286"/>
      <c r="H61" s="237"/>
      <c r="I61" s="237"/>
      <c r="J61" s="235"/>
      <c r="K61" s="294"/>
    </row>
    <row r="62" spans="1:11">
      <c r="A62" s="188" t="s">
        <v>454</v>
      </c>
      <c r="B62" s="189"/>
      <c r="C62" s="189"/>
      <c r="D62" s="196"/>
      <c r="E62" s="196"/>
      <c r="F62" s="196"/>
      <c r="G62" s="280"/>
      <c r="H62" s="189"/>
      <c r="I62" s="189"/>
      <c r="J62" s="189"/>
      <c r="K62" s="213">
        <f>+K12+K25+K28+K35+K41+K45+K49</f>
        <v>600523696.30999994</v>
      </c>
    </row>
    <row r="64" spans="1:11">
      <c r="A64" s="295"/>
    </row>
    <row r="65" spans="1:1" ht="16.5">
      <c r="A65" s="2"/>
    </row>
    <row r="66" spans="1:1" ht="16.5">
      <c r="A66" s="2"/>
    </row>
    <row r="67" spans="1:1" ht="16.5">
      <c r="A67" s="2"/>
    </row>
    <row r="68" spans="1:1" ht="16.5">
      <c r="A68" s="2"/>
    </row>
    <row r="69" spans="1:1" ht="16.5">
      <c r="A69" s="2"/>
    </row>
    <row r="70" spans="1:1" ht="16.5">
      <c r="A70" s="2"/>
    </row>
    <row r="71" spans="1:1" ht="16.5">
      <c r="A71" s="2"/>
    </row>
    <row r="72" spans="1:1" ht="16.5">
      <c r="A72" s="2"/>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K36"/>
  <sheetViews>
    <sheetView showGridLines="0" zoomScaleNormal="100" workbookViewId="0"/>
  </sheetViews>
  <sheetFormatPr baseColWidth="10" defaultRowHeight="15"/>
  <cols>
    <col min="1" max="1" width="65.140625" customWidth="1"/>
    <col min="2" max="2" width="17.7109375" customWidth="1"/>
    <col min="3" max="3" width="24" customWidth="1"/>
    <col min="4" max="6" width="17.7109375" customWidth="1"/>
    <col min="7" max="7" width="30.7109375" customWidth="1"/>
    <col min="8" max="9" width="17.7109375" customWidth="1"/>
    <col min="10" max="10" width="32.5703125" customWidth="1"/>
    <col min="11" max="11" width="17.7109375" customWidth="1"/>
    <col min="257" max="257" width="65.140625" customWidth="1"/>
    <col min="258" max="258" width="17.7109375" customWidth="1"/>
    <col min="259" max="259" width="24" customWidth="1"/>
    <col min="260" max="262" width="17.7109375" customWidth="1"/>
    <col min="263" max="263" width="30.7109375" customWidth="1"/>
    <col min="264" max="265" width="17.7109375" customWidth="1"/>
    <col min="266" max="266" width="32.5703125" customWidth="1"/>
    <col min="267" max="267" width="17.7109375" customWidth="1"/>
    <col min="513" max="513" width="65.140625" customWidth="1"/>
    <col min="514" max="514" width="17.7109375" customWidth="1"/>
    <col min="515" max="515" width="24" customWidth="1"/>
    <col min="516" max="518" width="17.7109375" customWidth="1"/>
    <col min="519" max="519" width="30.7109375" customWidth="1"/>
    <col min="520" max="521" width="17.7109375" customWidth="1"/>
    <col min="522" max="522" width="32.5703125" customWidth="1"/>
    <col min="523" max="523" width="17.7109375" customWidth="1"/>
    <col min="769" max="769" width="65.140625" customWidth="1"/>
    <col min="770" max="770" width="17.7109375" customWidth="1"/>
    <col min="771" max="771" width="24" customWidth="1"/>
    <col min="772" max="774" width="17.7109375" customWidth="1"/>
    <col min="775" max="775" width="30.7109375" customWidth="1"/>
    <col min="776" max="777" width="17.7109375" customWidth="1"/>
    <col min="778" max="778" width="32.5703125" customWidth="1"/>
    <col min="779" max="779" width="17.7109375" customWidth="1"/>
    <col min="1025" max="1025" width="65.140625" customWidth="1"/>
    <col min="1026" max="1026" width="17.7109375" customWidth="1"/>
    <col min="1027" max="1027" width="24" customWidth="1"/>
    <col min="1028" max="1030" width="17.7109375" customWidth="1"/>
    <col min="1031" max="1031" width="30.7109375" customWidth="1"/>
    <col min="1032" max="1033" width="17.7109375" customWidth="1"/>
    <col min="1034" max="1034" width="32.5703125" customWidth="1"/>
    <col min="1035" max="1035" width="17.7109375" customWidth="1"/>
    <col min="1281" max="1281" width="65.140625" customWidth="1"/>
    <col min="1282" max="1282" width="17.7109375" customWidth="1"/>
    <col min="1283" max="1283" width="24" customWidth="1"/>
    <col min="1284" max="1286" width="17.7109375" customWidth="1"/>
    <col min="1287" max="1287" width="30.7109375" customWidth="1"/>
    <col min="1288" max="1289" width="17.7109375" customWidth="1"/>
    <col min="1290" max="1290" width="32.5703125" customWidth="1"/>
    <col min="1291" max="1291" width="17.7109375" customWidth="1"/>
    <col min="1537" max="1537" width="65.140625" customWidth="1"/>
    <col min="1538" max="1538" width="17.7109375" customWidth="1"/>
    <col min="1539" max="1539" width="24" customWidth="1"/>
    <col min="1540" max="1542" width="17.7109375" customWidth="1"/>
    <col min="1543" max="1543" width="30.7109375" customWidth="1"/>
    <col min="1544" max="1545" width="17.7109375" customWidth="1"/>
    <col min="1546" max="1546" width="32.5703125" customWidth="1"/>
    <col min="1547" max="1547" width="17.7109375" customWidth="1"/>
    <col min="1793" max="1793" width="65.140625" customWidth="1"/>
    <col min="1794" max="1794" width="17.7109375" customWidth="1"/>
    <col min="1795" max="1795" width="24" customWidth="1"/>
    <col min="1796" max="1798" width="17.7109375" customWidth="1"/>
    <col min="1799" max="1799" width="30.7109375" customWidth="1"/>
    <col min="1800" max="1801" width="17.7109375" customWidth="1"/>
    <col min="1802" max="1802" width="32.5703125" customWidth="1"/>
    <col min="1803" max="1803" width="17.7109375" customWidth="1"/>
    <col min="2049" max="2049" width="65.140625" customWidth="1"/>
    <col min="2050" max="2050" width="17.7109375" customWidth="1"/>
    <col min="2051" max="2051" width="24" customWidth="1"/>
    <col min="2052" max="2054" width="17.7109375" customWidth="1"/>
    <col min="2055" max="2055" width="30.7109375" customWidth="1"/>
    <col min="2056" max="2057" width="17.7109375" customWidth="1"/>
    <col min="2058" max="2058" width="32.5703125" customWidth="1"/>
    <col min="2059" max="2059" width="17.7109375" customWidth="1"/>
    <col min="2305" max="2305" width="65.140625" customWidth="1"/>
    <col min="2306" max="2306" width="17.7109375" customWidth="1"/>
    <col min="2307" max="2307" width="24" customWidth="1"/>
    <col min="2308" max="2310" width="17.7109375" customWidth="1"/>
    <col min="2311" max="2311" width="30.7109375" customWidth="1"/>
    <col min="2312" max="2313" width="17.7109375" customWidth="1"/>
    <col min="2314" max="2314" width="32.5703125" customWidth="1"/>
    <col min="2315" max="2315" width="17.7109375" customWidth="1"/>
    <col min="2561" max="2561" width="65.140625" customWidth="1"/>
    <col min="2562" max="2562" width="17.7109375" customWidth="1"/>
    <col min="2563" max="2563" width="24" customWidth="1"/>
    <col min="2564" max="2566" width="17.7109375" customWidth="1"/>
    <col min="2567" max="2567" width="30.7109375" customWidth="1"/>
    <col min="2568" max="2569" width="17.7109375" customWidth="1"/>
    <col min="2570" max="2570" width="32.5703125" customWidth="1"/>
    <col min="2571" max="2571" width="17.7109375" customWidth="1"/>
    <col min="2817" max="2817" width="65.140625" customWidth="1"/>
    <col min="2818" max="2818" width="17.7109375" customWidth="1"/>
    <col min="2819" max="2819" width="24" customWidth="1"/>
    <col min="2820" max="2822" width="17.7109375" customWidth="1"/>
    <col min="2823" max="2823" width="30.7109375" customWidth="1"/>
    <col min="2824" max="2825" width="17.7109375" customWidth="1"/>
    <col min="2826" max="2826" width="32.5703125" customWidth="1"/>
    <col min="2827" max="2827" width="17.7109375" customWidth="1"/>
    <col min="3073" max="3073" width="65.140625" customWidth="1"/>
    <col min="3074" max="3074" width="17.7109375" customWidth="1"/>
    <col min="3075" max="3075" width="24" customWidth="1"/>
    <col min="3076" max="3078" width="17.7109375" customWidth="1"/>
    <col min="3079" max="3079" width="30.7109375" customWidth="1"/>
    <col min="3080" max="3081" width="17.7109375" customWidth="1"/>
    <col min="3082" max="3082" width="32.5703125" customWidth="1"/>
    <col min="3083" max="3083" width="17.7109375" customWidth="1"/>
    <col min="3329" max="3329" width="65.140625" customWidth="1"/>
    <col min="3330" max="3330" width="17.7109375" customWidth="1"/>
    <col min="3331" max="3331" width="24" customWidth="1"/>
    <col min="3332" max="3334" width="17.7109375" customWidth="1"/>
    <col min="3335" max="3335" width="30.7109375" customWidth="1"/>
    <col min="3336" max="3337" width="17.7109375" customWidth="1"/>
    <col min="3338" max="3338" width="32.5703125" customWidth="1"/>
    <col min="3339" max="3339" width="17.7109375" customWidth="1"/>
    <col min="3585" max="3585" width="65.140625" customWidth="1"/>
    <col min="3586" max="3586" width="17.7109375" customWidth="1"/>
    <col min="3587" max="3587" width="24" customWidth="1"/>
    <col min="3588" max="3590" width="17.7109375" customWidth="1"/>
    <col min="3591" max="3591" width="30.7109375" customWidth="1"/>
    <col min="3592" max="3593" width="17.7109375" customWidth="1"/>
    <col min="3594" max="3594" width="32.5703125" customWidth="1"/>
    <col min="3595" max="3595" width="17.7109375" customWidth="1"/>
    <col min="3841" max="3841" width="65.140625" customWidth="1"/>
    <col min="3842" max="3842" width="17.7109375" customWidth="1"/>
    <col min="3843" max="3843" width="24" customWidth="1"/>
    <col min="3844" max="3846" width="17.7109375" customWidth="1"/>
    <col min="3847" max="3847" width="30.7109375" customWidth="1"/>
    <col min="3848" max="3849" width="17.7109375" customWidth="1"/>
    <col min="3850" max="3850" width="32.5703125" customWidth="1"/>
    <col min="3851" max="3851" width="17.7109375" customWidth="1"/>
    <col min="4097" max="4097" width="65.140625" customWidth="1"/>
    <col min="4098" max="4098" width="17.7109375" customWidth="1"/>
    <col min="4099" max="4099" width="24" customWidth="1"/>
    <col min="4100" max="4102" width="17.7109375" customWidth="1"/>
    <col min="4103" max="4103" width="30.7109375" customWidth="1"/>
    <col min="4104" max="4105" width="17.7109375" customWidth="1"/>
    <col min="4106" max="4106" width="32.5703125" customWidth="1"/>
    <col min="4107" max="4107" width="17.7109375" customWidth="1"/>
    <col min="4353" max="4353" width="65.140625" customWidth="1"/>
    <col min="4354" max="4354" width="17.7109375" customWidth="1"/>
    <col min="4355" max="4355" width="24" customWidth="1"/>
    <col min="4356" max="4358" width="17.7109375" customWidth="1"/>
    <col min="4359" max="4359" width="30.7109375" customWidth="1"/>
    <col min="4360" max="4361" width="17.7109375" customWidth="1"/>
    <col min="4362" max="4362" width="32.5703125" customWidth="1"/>
    <col min="4363" max="4363" width="17.7109375" customWidth="1"/>
    <col min="4609" max="4609" width="65.140625" customWidth="1"/>
    <col min="4610" max="4610" width="17.7109375" customWidth="1"/>
    <col min="4611" max="4611" width="24" customWidth="1"/>
    <col min="4612" max="4614" width="17.7109375" customWidth="1"/>
    <col min="4615" max="4615" width="30.7109375" customWidth="1"/>
    <col min="4616" max="4617" width="17.7109375" customWidth="1"/>
    <col min="4618" max="4618" width="32.5703125" customWidth="1"/>
    <col min="4619" max="4619" width="17.7109375" customWidth="1"/>
    <col min="4865" max="4865" width="65.140625" customWidth="1"/>
    <col min="4866" max="4866" width="17.7109375" customWidth="1"/>
    <col min="4867" max="4867" width="24" customWidth="1"/>
    <col min="4868" max="4870" width="17.7109375" customWidth="1"/>
    <col min="4871" max="4871" width="30.7109375" customWidth="1"/>
    <col min="4872" max="4873" width="17.7109375" customWidth="1"/>
    <col min="4874" max="4874" width="32.5703125" customWidth="1"/>
    <col min="4875" max="4875" width="17.7109375" customWidth="1"/>
    <col min="5121" max="5121" width="65.140625" customWidth="1"/>
    <col min="5122" max="5122" width="17.7109375" customWidth="1"/>
    <col min="5123" max="5123" width="24" customWidth="1"/>
    <col min="5124" max="5126" width="17.7109375" customWidth="1"/>
    <col min="5127" max="5127" width="30.7109375" customWidth="1"/>
    <col min="5128" max="5129" width="17.7109375" customWidth="1"/>
    <col min="5130" max="5130" width="32.5703125" customWidth="1"/>
    <col min="5131" max="5131" width="17.7109375" customWidth="1"/>
    <col min="5377" max="5377" width="65.140625" customWidth="1"/>
    <col min="5378" max="5378" width="17.7109375" customWidth="1"/>
    <col min="5379" max="5379" width="24" customWidth="1"/>
    <col min="5380" max="5382" width="17.7109375" customWidth="1"/>
    <col min="5383" max="5383" width="30.7109375" customWidth="1"/>
    <col min="5384" max="5385" width="17.7109375" customWidth="1"/>
    <col min="5386" max="5386" width="32.5703125" customWidth="1"/>
    <col min="5387" max="5387" width="17.7109375" customWidth="1"/>
    <col min="5633" max="5633" width="65.140625" customWidth="1"/>
    <col min="5634" max="5634" width="17.7109375" customWidth="1"/>
    <col min="5635" max="5635" width="24" customWidth="1"/>
    <col min="5636" max="5638" width="17.7109375" customWidth="1"/>
    <col min="5639" max="5639" width="30.7109375" customWidth="1"/>
    <col min="5640" max="5641" width="17.7109375" customWidth="1"/>
    <col min="5642" max="5642" width="32.5703125" customWidth="1"/>
    <col min="5643" max="5643" width="17.7109375" customWidth="1"/>
    <col min="5889" max="5889" width="65.140625" customWidth="1"/>
    <col min="5890" max="5890" width="17.7109375" customWidth="1"/>
    <col min="5891" max="5891" width="24" customWidth="1"/>
    <col min="5892" max="5894" width="17.7109375" customWidth="1"/>
    <col min="5895" max="5895" width="30.7109375" customWidth="1"/>
    <col min="5896" max="5897" width="17.7109375" customWidth="1"/>
    <col min="5898" max="5898" width="32.5703125" customWidth="1"/>
    <col min="5899" max="5899" width="17.7109375" customWidth="1"/>
    <col min="6145" max="6145" width="65.140625" customWidth="1"/>
    <col min="6146" max="6146" width="17.7109375" customWidth="1"/>
    <col min="6147" max="6147" width="24" customWidth="1"/>
    <col min="6148" max="6150" width="17.7109375" customWidth="1"/>
    <col min="6151" max="6151" width="30.7109375" customWidth="1"/>
    <col min="6152" max="6153" width="17.7109375" customWidth="1"/>
    <col min="6154" max="6154" width="32.5703125" customWidth="1"/>
    <col min="6155" max="6155" width="17.7109375" customWidth="1"/>
    <col min="6401" max="6401" width="65.140625" customWidth="1"/>
    <col min="6402" max="6402" width="17.7109375" customWidth="1"/>
    <col min="6403" max="6403" width="24" customWidth="1"/>
    <col min="6404" max="6406" width="17.7109375" customWidth="1"/>
    <col min="6407" max="6407" width="30.7109375" customWidth="1"/>
    <col min="6408" max="6409" width="17.7109375" customWidth="1"/>
    <col min="6410" max="6410" width="32.5703125" customWidth="1"/>
    <col min="6411" max="6411" width="17.7109375" customWidth="1"/>
    <col min="6657" max="6657" width="65.140625" customWidth="1"/>
    <col min="6658" max="6658" width="17.7109375" customWidth="1"/>
    <col min="6659" max="6659" width="24" customWidth="1"/>
    <col min="6660" max="6662" width="17.7109375" customWidth="1"/>
    <col min="6663" max="6663" width="30.7109375" customWidth="1"/>
    <col min="6664" max="6665" width="17.7109375" customWidth="1"/>
    <col min="6666" max="6666" width="32.5703125" customWidth="1"/>
    <col min="6667" max="6667" width="17.7109375" customWidth="1"/>
    <col min="6913" max="6913" width="65.140625" customWidth="1"/>
    <col min="6914" max="6914" width="17.7109375" customWidth="1"/>
    <col min="6915" max="6915" width="24" customWidth="1"/>
    <col min="6916" max="6918" width="17.7109375" customWidth="1"/>
    <col min="6919" max="6919" width="30.7109375" customWidth="1"/>
    <col min="6920" max="6921" width="17.7109375" customWidth="1"/>
    <col min="6922" max="6922" width="32.5703125" customWidth="1"/>
    <col min="6923" max="6923" width="17.7109375" customWidth="1"/>
    <col min="7169" max="7169" width="65.140625" customWidth="1"/>
    <col min="7170" max="7170" width="17.7109375" customWidth="1"/>
    <col min="7171" max="7171" width="24" customWidth="1"/>
    <col min="7172" max="7174" width="17.7109375" customWidth="1"/>
    <col min="7175" max="7175" width="30.7109375" customWidth="1"/>
    <col min="7176" max="7177" width="17.7109375" customWidth="1"/>
    <col min="7178" max="7178" width="32.5703125" customWidth="1"/>
    <col min="7179" max="7179" width="17.7109375" customWidth="1"/>
    <col min="7425" max="7425" width="65.140625" customWidth="1"/>
    <col min="7426" max="7426" width="17.7109375" customWidth="1"/>
    <col min="7427" max="7427" width="24" customWidth="1"/>
    <col min="7428" max="7430" width="17.7109375" customWidth="1"/>
    <col min="7431" max="7431" width="30.7109375" customWidth="1"/>
    <col min="7432" max="7433" width="17.7109375" customWidth="1"/>
    <col min="7434" max="7434" width="32.5703125" customWidth="1"/>
    <col min="7435" max="7435" width="17.7109375" customWidth="1"/>
    <col min="7681" max="7681" width="65.140625" customWidth="1"/>
    <col min="7682" max="7682" width="17.7109375" customWidth="1"/>
    <col min="7683" max="7683" width="24" customWidth="1"/>
    <col min="7684" max="7686" width="17.7109375" customWidth="1"/>
    <col min="7687" max="7687" width="30.7109375" customWidth="1"/>
    <col min="7688" max="7689" width="17.7109375" customWidth="1"/>
    <col min="7690" max="7690" width="32.5703125" customWidth="1"/>
    <col min="7691" max="7691" width="17.7109375" customWidth="1"/>
    <col min="7937" max="7937" width="65.140625" customWidth="1"/>
    <col min="7938" max="7938" width="17.7109375" customWidth="1"/>
    <col min="7939" max="7939" width="24" customWidth="1"/>
    <col min="7940" max="7942" width="17.7109375" customWidth="1"/>
    <col min="7943" max="7943" width="30.7109375" customWidth="1"/>
    <col min="7944" max="7945" width="17.7109375" customWidth="1"/>
    <col min="7946" max="7946" width="32.5703125" customWidth="1"/>
    <col min="7947" max="7947" width="17.7109375" customWidth="1"/>
    <col min="8193" max="8193" width="65.140625" customWidth="1"/>
    <col min="8194" max="8194" width="17.7109375" customWidth="1"/>
    <col min="8195" max="8195" width="24" customWidth="1"/>
    <col min="8196" max="8198" width="17.7109375" customWidth="1"/>
    <col min="8199" max="8199" width="30.7109375" customWidth="1"/>
    <col min="8200" max="8201" width="17.7109375" customWidth="1"/>
    <col min="8202" max="8202" width="32.5703125" customWidth="1"/>
    <col min="8203" max="8203" width="17.7109375" customWidth="1"/>
    <col min="8449" max="8449" width="65.140625" customWidth="1"/>
    <col min="8450" max="8450" width="17.7109375" customWidth="1"/>
    <col min="8451" max="8451" width="24" customWidth="1"/>
    <col min="8452" max="8454" width="17.7109375" customWidth="1"/>
    <col min="8455" max="8455" width="30.7109375" customWidth="1"/>
    <col min="8456" max="8457" width="17.7109375" customWidth="1"/>
    <col min="8458" max="8458" width="32.5703125" customWidth="1"/>
    <col min="8459" max="8459" width="17.7109375" customWidth="1"/>
    <col min="8705" max="8705" width="65.140625" customWidth="1"/>
    <col min="8706" max="8706" width="17.7109375" customWidth="1"/>
    <col min="8707" max="8707" width="24" customWidth="1"/>
    <col min="8708" max="8710" width="17.7109375" customWidth="1"/>
    <col min="8711" max="8711" width="30.7109375" customWidth="1"/>
    <col min="8712" max="8713" width="17.7109375" customWidth="1"/>
    <col min="8714" max="8714" width="32.5703125" customWidth="1"/>
    <col min="8715" max="8715" width="17.7109375" customWidth="1"/>
    <col min="8961" max="8961" width="65.140625" customWidth="1"/>
    <col min="8962" max="8962" width="17.7109375" customWidth="1"/>
    <col min="8963" max="8963" width="24" customWidth="1"/>
    <col min="8964" max="8966" width="17.7109375" customWidth="1"/>
    <col min="8967" max="8967" width="30.7109375" customWidth="1"/>
    <col min="8968" max="8969" width="17.7109375" customWidth="1"/>
    <col min="8970" max="8970" width="32.5703125" customWidth="1"/>
    <col min="8971" max="8971" width="17.7109375" customWidth="1"/>
    <col min="9217" max="9217" width="65.140625" customWidth="1"/>
    <col min="9218" max="9218" width="17.7109375" customWidth="1"/>
    <col min="9219" max="9219" width="24" customWidth="1"/>
    <col min="9220" max="9222" width="17.7109375" customWidth="1"/>
    <col min="9223" max="9223" width="30.7109375" customWidth="1"/>
    <col min="9224" max="9225" width="17.7109375" customWidth="1"/>
    <col min="9226" max="9226" width="32.5703125" customWidth="1"/>
    <col min="9227" max="9227" width="17.7109375" customWidth="1"/>
    <col min="9473" max="9473" width="65.140625" customWidth="1"/>
    <col min="9474" max="9474" width="17.7109375" customWidth="1"/>
    <col min="9475" max="9475" width="24" customWidth="1"/>
    <col min="9476" max="9478" width="17.7109375" customWidth="1"/>
    <col min="9479" max="9479" width="30.7109375" customWidth="1"/>
    <col min="9480" max="9481" width="17.7109375" customWidth="1"/>
    <col min="9482" max="9482" width="32.5703125" customWidth="1"/>
    <col min="9483" max="9483" width="17.7109375" customWidth="1"/>
    <col min="9729" max="9729" width="65.140625" customWidth="1"/>
    <col min="9730" max="9730" width="17.7109375" customWidth="1"/>
    <col min="9731" max="9731" width="24" customWidth="1"/>
    <col min="9732" max="9734" width="17.7109375" customWidth="1"/>
    <col min="9735" max="9735" width="30.7109375" customWidth="1"/>
    <col min="9736" max="9737" width="17.7109375" customWidth="1"/>
    <col min="9738" max="9738" width="32.5703125" customWidth="1"/>
    <col min="9739" max="9739" width="17.7109375" customWidth="1"/>
    <col min="9985" max="9985" width="65.140625" customWidth="1"/>
    <col min="9986" max="9986" width="17.7109375" customWidth="1"/>
    <col min="9987" max="9987" width="24" customWidth="1"/>
    <col min="9988" max="9990" width="17.7109375" customWidth="1"/>
    <col min="9991" max="9991" width="30.7109375" customWidth="1"/>
    <col min="9992" max="9993" width="17.7109375" customWidth="1"/>
    <col min="9994" max="9994" width="32.5703125" customWidth="1"/>
    <col min="9995" max="9995" width="17.7109375" customWidth="1"/>
    <col min="10241" max="10241" width="65.140625" customWidth="1"/>
    <col min="10242" max="10242" width="17.7109375" customWidth="1"/>
    <col min="10243" max="10243" width="24" customWidth="1"/>
    <col min="10244" max="10246" width="17.7109375" customWidth="1"/>
    <col min="10247" max="10247" width="30.7109375" customWidth="1"/>
    <col min="10248" max="10249" width="17.7109375" customWidth="1"/>
    <col min="10250" max="10250" width="32.5703125" customWidth="1"/>
    <col min="10251" max="10251" width="17.7109375" customWidth="1"/>
    <col min="10497" max="10497" width="65.140625" customWidth="1"/>
    <col min="10498" max="10498" width="17.7109375" customWidth="1"/>
    <col min="10499" max="10499" width="24" customWidth="1"/>
    <col min="10500" max="10502" width="17.7109375" customWidth="1"/>
    <col min="10503" max="10503" width="30.7109375" customWidth="1"/>
    <col min="10504" max="10505" width="17.7109375" customWidth="1"/>
    <col min="10506" max="10506" width="32.5703125" customWidth="1"/>
    <col min="10507" max="10507" width="17.7109375" customWidth="1"/>
    <col min="10753" max="10753" width="65.140625" customWidth="1"/>
    <col min="10754" max="10754" width="17.7109375" customWidth="1"/>
    <col min="10755" max="10755" width="24" customWidth="1"/>
    <col min="10756" max="10758" width="17.7109375" customWidth="1"/>
    <col min="10759" max="10759" width="30.7109375" customWidth="1"/>
    <col min="10760" max="10761" width="17.7109375" customWidth="1"/>
    <col min="10762" max="10762" width="32.5703125" customWidth="1"/>
    <col min="10763" max="10763" width="17.7109375" customWidth="1"/>
    <col min="11009" max="11009" width="65.140625" customWidth="1"/>
    <col min="11010" max="11010" width="17.7109375" customWidth="1"/>
    <col min="11011" max="11011" width="24" customWidth="1"/>
    <col min="11012" max="11014" width="17.7109375" customWidth="1"/>
    <col min="11015" max="11015" width="30.7109375" customWidth="1"/>
    <col min="11016" max="11017" width="17.7109375" customWidth="1"/>
    <col min="11018" max="11018" width="32.5703125" customWidth="1"/>
    <col min="11019" max="11019" width="17.7109375" customWidth="1"/>
    <col min="11265" max="11265" width="65.140625" customWidth="1"/>
    <col min="11266" max="11266" width="17.7109375" customWidth="1"/>
    <col min="11267" max="11267" width="24" customWidth="1"/>
    <col min="11268" max="11270" width="17.7109375" customWidth="1"/>
    <col min="11271" max="11271" width="30.7109375" customWidth="1"/>
    <col min="11272" max="11273" width="17.7109375" customWidth="1"/>
    <col min="11274" max="11274" width="32.5703125" customWidth="1"/>
    <col min="11275" max="11275" width="17.7109375" customWidth="1"/>
    <col min="11521" max="11521" width="65.140625" customWidth="1"/>
    <col min="11522" max="11522" width="17.7109375" customWidth="1"/>
    <col min="11523" max="11523" width="24" customWidth="1"/>
    <col min="11524" max="11526" width="17.7109375" customWidth="1"/>
    <col min="11527" max="11527" width="30.7109375" customWidth="1"/>
    <col min="11528" max="11529" width="17.7109375" customWidth="1"/>
    <col min="11530" max="11530" width="32.5703125" customWidth="1"/>
    <col min="11531" max="11531" width="17.7109375" customWidth="1"/>
    <col min="11777" max="11777" width="65.140625" customWidth="1"/>
    <col min="11778" max="11778" width="17.7109375" customWidth="1"/>
    <col min="11779" max="11779" width="24" customWidth="1"/>
    <col min="11780" max="11782" width="17.7109375" customWidth="1"/>
    <col min="11783" max="11783" width="30.7109375" customWidth="1"/>
    <col min="11784" max="11785" width="17.7109375" customWidth="1"/>
    <col min="11786" max="11786" width="32.5703125" customWidth="1"/>
    <col min="11787" max="11787" width="17.7109375" customWidth="1"/>
    <col min="12033" max="12033" width="65.140625" customWidth="1"/>
    <col min="12034" max="12034" width="17.7109375" customWidth="1"/>
    <col min="12035" max="12035" width="24" customWidth="1"/>
    <col min="12036" max="12038" width="17.7109375" customWidth="1"/>
    <col min="12039" max="12039" width="30.7109375" customWidth="1"/>
    <col min="12040" max="12041" width="17.7109375" customWidth="1"/>
    <col min="12042" max="12042" width="32.5703125" customWidth="1"/>
    <col min="12043" max="12043" width="17.7109375" customWidth="1"/>
    <col min="12289" max="12289" width="65.140625" customWidth="1"/>
    <col min="12290" max="12290" width="17.7109375" customWidth="1"/>
    <col min="12291" max="12291" width="24" customWidth="1"/>
    <col min="12292" max="12294" width="17.7109375" customWidth="1"/>
    <col min="12295" max="12295" width="30.7109375" customWidth="1"/>
    <col min="12296" max="12297" width="17.7109375" customWidth="1"/>
    <col min="12298" max="12298" width="32.5703125" customWidth="1"/>
    <col min="12299" max="12299" width="17.7109375" customWidth="1"/>
    <col min="12545" max="12545" width="65.140625" customWidth="1"/>
    <col min="12546" max="12546" width="17.7109375" customWidth="1"/>
    <col min="12547" max="12547" width="24" customWidth="1"/>
    <col min="12548" max="12550" width="17.7109375" customWidth="1"/>
    <col min="12551" max="12551" width="30.7109375" customWidth="1"/>
    <col min="12552" max="12553" width="17.7109375" customWidth="1"/>
    <col min="12554" max="12554" width="32.5703125" customWidth="1"/>
    <col min="12555" max="12555" width="17.7109375" customWidth="1"/>
    <col min="12801" max="12801" width="65.140625" customWidth="1"/>
    <col min="12802" max="12802" width="17.7109375" customWidth="1"/>
    <col min="12803" max="12803" width="24" customWidth="1"/>
    <col min="12804" max="12806" width="17.7109375" customWidth="1"/>
    <col min="12807" max="12807" width="30.7109375" customWidth="1"/>
    <col min="12808" max="12809" width="17.7109375" customWidth="1"/>
    <col min="12810" max="12810" width="32.5703125" customWidth="1"/>
    <col min="12811" max="12811" width="17.7109375" customWidth="1"/>
    <col min="13057" max="13057" width="65.140625" customWidth="1"/>
    <col min="13058" max="13058" width="17.7109375" customWidth="1"/>
    <col min="13059" max="13059" width="24" customWidth="1"/>
    <col min="13060" max="13062" width="17.7109375" customWidth="1"/>
    <col min="13063" max="13063" width="30.7109375" customWidth="1"/>
    <col min="13064" max="13065" width="17.7109375" customWidth="1"/>
    <col min="13066" max="13066" width="32.5703125" customWidth="1"/>
    <col min="13067" max="13067" width="17.7109375" customWidth="1"/>
    <col min="13313" max="13313" width="65.140625" customWidth="1"/>
    <col min="13314" max="13314" width="17.7109375" customWidth="1"/>
    <col min="13315" max="13315" width="24" customWidth="1"/>
    <col min="13316" max="13318" width="17.7109375" customWidth="1"/>
    <col min="13319" max="13319" width="30.7109375" customWidth="1"/>
    <col min="13320" max="13321" width="17.7109375" customWidth="1"/>
    <col min="13322" max="13322" width="32.5703125" customWidth="1"/>
    <col min="13323" max="13323" width="17.7109375" customWidth="1"/>
    <col min="13569" max="13569" width="65.140625" customWidth="1"/>
    <col min="13570" max="13570" width="17.7109375" customWidth="1"/>
    <col min="13571" max="13571" width="24" customWidth="1"/>
    <col min="13572" max="13574" width="17.7109375" customWidth="1"/>
    <col min="13575" max="13575" width="30.7109375" customWidth="1"/>
    <col min="13576" max="13577" width="17.7109375" customWidth="1"/>
    <col min="13578" max="13578" width="32.5703125" customWidth="1"/>
    <col min="13579" max="13579" width="17.7109375" customWidth="1"/>
    <col min="13825" max="13825" width="65.140625" customWidth="1"/>
    <col min="13826" max="13826" width="17.7109375" customWidth="1"/>
    <col min="13827" max="13827" width="24" customWidth="1"/>
    <col min="13828" max="13830" width="17.7109375" customWidth="1"/>
    <col min="13831" max="13831" width="30.7109375" customWidth="1"/>
    <col min="13832" max="13833" width="17.7109375" customWidth="1"/>
    <col min="13834" max="13834" width="32.5703125" customWidth="1"/>
    <col min="13835" max="13835" width="17.7109375" customWidth="1"/>
    <col min="14081" max="14081" width="65.140625" customWidth="1"/>
    <col min="14082" max="14082" width="17.7109375" customWidth="1"/>
    <col min="14083" max="14083" width="24" customWidth="1"/>
    <col min="14084" max="14086" width="17.7109375" customWidth="1"/>
    <col min="14087" max="14087" width="30.7109375" customWidth="1"/>
    <col min="14088" max="14089" width="17.7109375" customWidth="1"/>
    <col min="14090" max="14090" width="32.5703125" customWidth="1"/>
    <col min="14091" max="14091" width="17.7109375" customWidth="1"/>
    <col min="14337" max="14337" width="65.140625" customWidth="1"/>
    <col min="14338" max="14338" width="17.7109375" customWidth="1"/>
    <col min="14339" max="14339" width="24" customWidth="1"/>
    <col min="14340" max="14342" width="17.7109375" customWidth="1"/>
    <col min="14343" max="14343" width="30.7109375" customWidth="1"/>
    <col min="14344" max="14345" width="17.7109375" customWidth="1"/>
    <col min="14346" max="14346" width="32.5703125" customWidth="1"/>
    <col min="14347" max="14347" width="17.7109375" customWidth="1"/>
    <col min="14593" max="14593" width="65.140625" customWidth="1"/>
    <col min="14594" max="14594" width="17.7109375" customWidth="1"/>
    <col min="14595" max="14595" width="24" customWidth="1"/>
    <col min="14596" max="14598" width="17.7109375" customWidth="1"/>
    <col min="14599" max="14599" width="30.7109375" customWidth="1"/>
    <col min="14600" max="14601" width="17.7109375" customWidth="1"/>
    <col min="14602" max="14602" width="32.5703125" customWidth="1"/>
    <col min="14603" max="14603" width="17.7109375" customWidth="1"/>
    <col min="14849" max="14849" width="65.140625" customWidth="1"/>
    <col min="14850" max="14850" width="17.7109375" customWidth="1"/>
    <col min="14851" max="14851" width="24" customWidth="1"/>
    <col min="14852" max="14854" width="17.7109375" customWidth="1"/>
    <col min="14855" max="14855" width="30.7109375" customWidth="1"/>
    <col min="14856" max="14857" width="17.7109375" customWidth="1"/>
    <col min="14858" max="14858" width="32.5703125" customWidth="1"/>
    <col min="14859" max="14859" width="17.7109375" customWidth="1"/>
    <col min="15105" max="15105" width="65.140625" customWidth="1"/>
    <col min="15106" max="15106" width="17.7109375" customWidth="1"/>
    <col min="15107" max="15107" width="24" customWidth="1"/>
    <col min="15108" max="15110" width="17.7109375" customWidth="1"/>
    <col min="15111" max="15111" width="30.7109375" customWidth="1"/>
    <col min="15112" max="15113" width="17.7109375" customWidth="1"/>
    <col min="15114" max="15114" width="32.5703125" customWidth="1"/>
    <col min="15115" max="15115" width="17.7109375" customWidth="1"/>
    <col min="15361" max="15361" width="65.140625" customWidth="1"/>
    <col min="15362" max="15362" width="17.7109375" customWidth="1"/>
    <col min="15363" max="15363" width="24" customWidth="1"/>
    <col min="15364" max="15366" width="17.7109375" customWidth="1"/>
    <col min="15367" max="15367" width="30.7109375" customWidth="1"/>
    <col min="15368" max="15369" width="17.7109375" customWidth="1"/>
    <col min="15370" max="15370" width="32.5703125" customWidth="1"/>
    <col min="15371" max="15371" width="17.7109375" customWidth="1"/>
    <col min="15617" max="15617" width="65.140625" customWidth="1"/>
    <col min="15618" max="15618" width="17.7109375" customWidth="1"/>
    <col min="15619" max="15619" width="24" customWidth="1"/>
    <col min="15620" max="15622" width="17.7109375" customWidth="1"/>
    <col min="15623" max="15623" width="30.7109375" customWidth="1"/>
    <col min="15624" max="15625" width="17.7109375" customWidth="1"/>
    <col min="15626" max="15626" width="32.5703125" customWidth="1"/>
    <col min="15627" max="15627" width="17.7109375" customWidth="1"/>
    <col min="15873" max="15873" width="65.140625" customWidth="1"/>
    <col min="15874" max="15874" width="17.7109375" customWidth="1"/>
    <col min="15875" max="15875" width="24" customWidth="1"/>
    <col min="15876" max="15878" width="17.7109375" customWidth="1"/>
    <col min="15879" max="15879" width="30.7109375" customWidth="1"/>
    <col min="15880" max="15881" width="17.7109375" customWidth="1"/>
    <col min="15882" max="15882" width="32.5703125" customWidth="1"/>
    <col min="15883" max="15883" width="17.7109375" customWidth="1"/>
    <col min="16129" max="16129" width="65.140625" customWidth="1"/>
    <col min="16130" max="16130" width="17.7109375" customWidth="1"/>
    <col min="16131" max="16131" width="24" customWidth="1"/>
    <col min="16132" max="16134" width="17.7109375" customWidth="1"/>
    <col min="16135" max="16135" width="30.7109375" customWidth="1"/>
    <col min="16136" max="16137" width="17.7109375" customWidth="1"/>
    <col min="16138" max="16138" width="32.5703125" customWidth="1"/>
    <col min="16139" max="16139" width="17.7109375" customWidth="1"/>
  </cols>
  <sheetData>
    <row r="1" spans="1:11" s="177" customFormat="1" ht="21" customHeight="1">
      <c r="A1" s="175" t="s">
        <v>235</v>
      </c>
      <c r="B1" s="176"/>
    </row>
    <row r="2" spans="1:11" s="177" customFormat="1" ht="19.5" customHeight="1">
      <c r="A2" s="178" t="s">
        <v>455</v>
      </c>
      <c r="B2" s="176"/>
      <c r="C2" s="179"/>
      <c r="D2" s="179"/>
      <c r="E2" s="179"/>
      <c r="F2" s="179"/>
      <c r="G2" s="179"/>
      <c r="H2" s="179"/>
      <c r="I2" s="179"/>
      <c r="J2" s="179"/>
      <c r="K2" s="180" t="s">
        <v>234</v>
      </c>
    </row>
    <row r="3" spans="1:11" s="177" customFormat="1" ht="22.5" customHeight="1">
      <c r="A3" s="181" t="s">
        <v>456</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182" t="s">
        <v>228</v>
      </c>
      <c r="B5" s="182" t="s">
        <v>227</v>
      </c>
      <c r="C5" s="182" t="s">
        <v>226</v>
      </c>
      <c r="D5" s="182"/>
      <c r="E5" s="183" t="s">
        <v>225</v>
      </c>
      <c r="F5" s="183"/>
      <c r="G5" s="182" t="s">
        <v>224</v>
      </c>
      <c r="H5" s="1381" t="s">
        <v>223</v>
      </c>
      <c r="I5" s="1381"/>
      <c r="J5" s="182" t="s">
        <v>222</v>
      </c>
      <c r="K5" s="182" t="s">
        <v>221</v>
      </c>
    </row>
    <row r="6" spans="1:11" s="186" customFormat="1">
      <c r="A6" s="1382" t="s">
        <v>220</v>
      </c>
      <c r="B6" s="1379" t="s">
        <v>219</v>
      </c>
      <c r="C6" s="1379" t="s">
        <v>218</v>
      </c>
      <c r="D6" s="1379" t="s">
        <v>217</v>
      </c>
      <c r="E6" s="1379" t="s">
        <v>216</v>
      </c>
      <c r="F6" s="1379"/>
      <c r="G6" s="1379" t="s">
        <v>215</v>
      </c>
      <c r="H6" s="1379" t="s">
        <v>214</v>
      </c>
      <c r="I6" s="1379"/>
      <c r="J6" s="1379" t="s">
        <v>240</v>
      </c>
      <c r="K6" s="1380" t="s">
        <v>212</v>
      </c>
    </row>
    <row r="7" spans="1:11" s="186" customFormat="1">
      <c r="A7" s="1382"/>
      <c r="B7" s="1379"/>
      <c r="C7" s="1379"/>
      <c r="D7" s="1379"/>
      <c r="E7" s="187" t="s">
        <v>211</v>
      </c>
      <c r="F7" s="187" t="s">
        <v>210</v>
      </c>
      <c r="G7" s="1379"/>
      <c r="H7" s="187" t="s">
        <v>211</v>
      </c>
      <c r="I7" s="187" t="s">
        <v>210</v>
      </c>
      <c r="J7" s="1379"/>
      <c r="K7" s="1380"/>
    </row>
    <row r="8" spans="1:11" ht="15.95" customHeight="1">
      <c r="A8" s="188" t="s">
        <v>208</v>
      </c>
      <c r="B8" s="189"/>
      <c r="C8" s="189"/>
      <c r="D8" s="189"/>
      <c r="E8" s="189"/>
      <c r="F8" s="189"/>
      <c r="G8" s="189"/>
      <c r="H8" s="189"/>
      <c r="I8" s="189"/>
      <c r="J8" s="189"/>
      <c r="K8" s="190">
        <f>SUM(K9)</f>
        <v>0</v>
      </c>
    </row>
    <row r="9" spans="1:11" ht="19.5" customHeight="1">
      <c r="A9" s="192"/>
      <c r="B9" s="193"/>
      <c r="C9" s="193"/>
      <c r="D9" s="194"/>
      <c r="E9" s="194"/>
      <c r="F9" s="194"/>
      <c r="G9" s="193"/>
      <c r="H9" s="193"/>
      <c r="I9" s="193"/>
      <c r="J9" s="193"/>
      <c r="K9" s="195"/>
    </row>
    <row r="10" spans="1:11" ht="15.95" customHeight="1">
      <c r="A10" s="188" t="s">
        <v>207</v>
      </c>
      <c r="B10" s="189"/>
      <c r="C10" s="189"/>
      <c r="D10" s="196"/>
      <c r="E10" s="196"/>
      <c r="F10" s="196"/>
      <c r="G10" s="189"/>
      <c r="H10" s="189"/>
      <c r="I10" s="189"/>
      <c r="J10" s="189"/>
      <c r="K10" s="190">
        <f>SUM(K11:K14)</f>
        <v>57820356.750000007</v>
      </c>
    </row>
    <row r="11" spans="1:11" ht="42" customHeight="1">
      <c r="A11" s="192" t="s">
        <v>457</v>
      </c>
      <c r="B11" s="232" t="s">
        <v>458</v>
      </c>
      <c r="C11" s="232" t="s">
        <v>345</v>
      </c>
      <c r="D11" s="296">
        <v>8.6956000000000006E-2</v>
      </c>
      <c r="E11" s="271"/>
      <c r="F11" s="271"/>
      <c r="G11" s="232"/>
      <c r="H11" s="232"/>
      <c r="I11" s="232"/>
      <c r="J11" s="263" t="s">
        <v>459</v>
      </c>
      <c r="K11" s="297">
        <v>22176607.920000002</v>
      </c>
    </row>
    <row r="12" spans="1:11" ht="30" customHeight="1">
      <c r="A12" s="192" t="s">
        <v>460</v>
      </c>
      <c r="B12" s="263" t="s">
        <v>461</v>
      </c>
      <c r="C12" s="263" t="s">
        <v>345</v>
      </c>
      <c r="D12" s="298">
        <v>0.01</v>
      </c>
      <c r="E12" s="264">
        <v>6.0000000000000001E-3</v>
      </c>
      <c r="F12" s="265">
        <v>0.05</v>
      </c>
      <c r="G12" s="299"/>
      <c r="H12" s="273">
        <v>800</v>
      </c>
      <c r="I12" s="273">
        <v>1900</v>
      </c>
      <c r="J12" s="263" t="s">
        <v>459</v>
      </c>
      <c r="K12" s="205">
        <v>19743453.260000002</v>
      </c>
    </row>
    <row r="13" spans="1:11" ht="27.75" customHeight="1">
      <c r="A13" s="192" t="s">
        <v>347</v>
      </c>
      <c r="B13" s="263" t="s">
        <v>251</v>
      </c>
      <c r="C13" s="263" t="s">
        <v>462</v>
      </c>
      <c r="D13" s="202"/>
      <c r="E13" s="265">
        <v>0.01</v>
      </c>
      <c r="F13" s="298">
        <v>3.2500000000000001E-2</v>
      </c>
      <c r="G13" s="263"/>
      <c r="H13" s="300"/>
      <c r="I13" s="300"/>
      <c r="J13" s="263" t="s">
        <v>459</v>
      </c>
      <c r="K13" s="205">
        <v>13025569.4</v>
      </c>
    </row>
    <row r="14" spans="1:11" s="177" customFormat="1" ht="15.95" customHeight="1">
      <c r="A14" s="192" t="s">
        <v>463</v>
      </c>
      <c r="B14" s="263" t="s">
        <v>464</v>
      </c>
      <c r="C14" s="301" t="s">
        <v>465</v>
      </c>
      <c r="D14" s="202"/>
      <c r="E14" s="202"/>
      <c r="F14" s="202"/>
      <c r="G14" s="263"/>
      <c r="H14" s="273">
        <v>200</v>
      </c>
      <c r="I14" s="268">
        <v>450</v>
      </c>
      <c r="J14" s="263" t="s">
        <v>459</v>
      </c>
      <c r="K14" s="205">
        <v>2874726.17</v>
      </c>
    </row>
    <row r="15" spans="1:11" s="177" customFormat="1" ht="15.95" customHeight="1">
      <c r="A15" s="209" t="s">
        <v>191</v>
      </c>
      <c r="B15" s="210"/>
      <c r="C15" s="210"/>
      <c r="D15" s="211"/>
      <c r="E15" s="211"/>
      <c r="F15" s="211"/>
      <c r="G15" s="210"/>
      <c r="H15" s="210"/>
      <c r="I15" s="210"/>
      <c r="J15" s="210"/>
      <c r="K15" s="213">
        <f>SUM(K16)</f>
        <v>1969339.23</v>
      </c>
    </row>
    <row r="16" spans="1:11" s="177" customFormat="1" ht="15.95" customHeight="1">
      <c r="A16" s="192" t="s">
        <v>466</v>
      </c>
      <c r="B16" s="232"/>
      <c r="C16" s="263" t="s">
        <v>462</v>
      </c>
      <c r="D16" s="302">
        <v>0.2</v>
      </c>
      <c r="E16" s="271"/>
      <c r="F16" s="271"/>
      <c r="G16" s="232"/>
      <c r="H16" s="232"/>
      <c r="I16" s="232"/>
      <c r="J16" s="263" t="s">
        <v>459</v>
      </c>
      <c r="K16" s="297">
        <f>1889934.44+39685.95+39718.84</f>
        <v>1969339.23</v>
      </c>
    </row>
    <row r="17" spans="1:11" ht="15.95" customHeight="1">
      <c r="A17" s="188" t="s">
        <v>179</v>
      </c>
      <c r="B17" s="189"/>
      <c r="C17" s="189"/>
      <c r="D17" s="196"/>
      <c r="E17" s="196"/>
      <c r="F17" s="196"/>
      <c r="G17" s="189"/>
      <c r="H17" s="189"/>
      <c r="I17" s="189"/>
      <c r="J17" s="189"/>
      <c r="K17" s="190">
        <f>SUM(K18:K19)</f>
        <v>3861380.73</v>
      </c>
    </row>
    <row r="18" spans="1:11" ht="15.95" customHeight="1">
      <c r="A18" s="192" t="s">
        <v>467</v>
      </c>
      <c r="B18" s="263"/>
      <c r="C18" s="263" t="s">
        <v>468</v>
      </c>
      <c r="D18" s="202"/>
      <c r="E18" s="202"/>
      <c r="F18" s="202"/>
      <c r="G18" s="263"/>
      <c r="H18" s="303">
        <v>1000</v>
      </c>
      <c r="I18" s="303">
        <v>4500</v>
      </c>
      <c r="J18" s="263" t="s">
        <v>459</v>
      </c>
      <c r="K18" s="205">
        <v>2326400</v>
      </c>
    </row>
    <row r="19" spans="1:11" ht="15.95" customHeight="1">
      <c r="A19" s="192" t="s">
        <v>172</v>
      </c>
      <c r="B19" s="263"/>
      <c r="C19" s="263" t="s">
        <v>468</v>
      </c>
      <c r="D19" s="202"/>
      <c r="E19" s="202"/>
      <c r="F19" s="202"/>
      <c r="G19" s="263"/>
      <c r="H19" s="303">
        <v>100</v>
      </c>
      <c r="I19" s="303">
        <v>15000</v>
      </c>
      <c r="J19" s="263" t="s">
        <v>459</v>
      </c>
      <c r="K19" s="205">
        <v>1534980.73</v>
      </c>
    </row>
    <row r="20" spans="1:11" ht="15.95" customHeight="1">
      <c r="A20" s="188" t="s">
        <v>152</v>
      </c>
      <c r="B20" s="189"/>
      <c r="C20" s="189"/>
      <c r="D20" s="196"/>
      <c r="E20" s="196"/>
      <c r="F20" s="196"/>
      <c r="G20" s="189"/>
      <c r="H20" s="189"/>
      <c r="I20" s="189"/>
      <c r="J20" s="189"/>
      <c r="K20" s="190">
        <v>0</v>
      </c>
    </row>
    <row r="21" spans="1:11" ht="15.95" customHeight="1">
      <c r="A21" s="304" t="s">
        <v>151</v>
      </c>
      <c r="B21" s="189"/>
      <c r="C21" s="189"/>
      <c r="D21" s="196"/>
      <c r="E21" s="196"/>
      <c r="F21" s="196"/>
      <c r="G21" s="189"/>
      <c r="H21" s="189"/>
      <c r="I21" s="189"/>
      <c r="J21" s="189"/>
      <c r="K21" s="190">
        <f>SUM(K22:K22)</f>
        <v>859601.34</v>
      </c>
    </row>
    <row r="22" spans="1:11" ht="22.5" customHeight="1">
      <c r="A22" s="305" t="s">
        <v>469</v>
      </c>
      <c r="B22" s="305"/>
      <c r="C22" s="306" t="s">
        <v>468</v>
      </c>
      <c r="D22" s="305"/>
      <c r="E22" s="305"/>
      <c r="F22" s="305"/>
      <c r="G22" s="305" t="s">
        <v>470</v>
      </c>
      <c r="H22" s="305"/>
      <c r="I22" s="305"/>
      <c r="J22" s="305" t="s">
        <v>471</v>
      </c>
      <c r="K22" s="205">
        <v>859601.34</v>
      </c>
    </row>
    <row r="23" spans="1:11" ht="17.25" customHeight="1">
      <c r="A23" s="307"/>
      <c r="B23" s="307"/>
      <c r="C23" s="307"/>
      <c r="D23" s="307"/>
      <c r="E23" s="307"/>
      <c r="F23" s="307"/>
      <c r="G23" s="307" t="s">
        <v>472</v>
      </c>
      <c r="H23" s="307"/>
      <c r="I23" s="307"/>
      <c r="J23" s="307" t="s">
        <v>473</v>
      </c>
      <c r="K23" s="307"/>
    </row>
    <row r="24" spans="1:11" s="177" customFormat="1" ht="15.95" customHeight="1">
      <c r="A24" s="308" t="s">
        <v>137</v>
      </c>
      <c r="B24" s="210"/>
      <c r="C24" s="210"/>
      <c r="D24" s="211"/>
      <c r="E24" s="211"/>
      <c r="F24" s="211"/>
      <c r="G24" s="210"/>
      <c r="H24" s="210"/>
      <c r="I24" s="210"/>
      <c r="J24" s="210"/>
      <c r="K24" s="213">
        <v>0</v>
      </c>
    </row>
    <row r="25" spans="1:11" ht="15.95" customHeight="1">
      <c r="A25" s="188" t="s">
        <v>136</v>
      </c>
      <c r="B25" s="189"/>
      <c r="C25" s="189"/>
      <c r="D25" s="196"/>
      <c r="E25" s="196"/>
      <c r="F25" s="196"/>
      <c r="G25" s="189"/>
      <c r="H25" s="189"/>
      <c r="I25" s="189"/>
      <c r="J25" s="189"/>
      <c r="K25" s="190">
        <f>SUM(K29)+K28+K27+K26</f>
        <v>3878501.19</v>
      </c>
    </row>
    <row r="26" spans="1:11" s="239" customFormat="1" ht="15.95" customHeight="1">
      <c r="A26" s="233" t="s">
        <v>474</v>
      </c>
      <c r="B26" s="235"/>
      <c r="C26" s="235" t="s">
        <v>345</v>
      </c>
      <c r="D26" s="265">
        <v>0.03</v>
      </c>
      <c r="E26" s="265"/>
      <c r="F26" s="265"/>
      <c r="G26" s="235"/>
      <c r="H26" s="235"/>
      <c r="I26" s="235"/>
      <c r="J26" s="263" t="s">
        <v>459</v>
      </c>
      <c r="K26" s="205">
        <v>2227014.23</v>
      </c>
    </row>
    <row r="27" spans="1:11" s="239" customFormat="1" ht="15.95" customHeight="1">
      <c r="A27" s="233" t="s">
        <v>475</v>
      </c>
      <c r="B27" s="235"/>
      <c r="C27" s="235" t="s">
        <v>468</v>
      </c>
      <c r="D27" s="265"/>
      <c r="E27" s="265"/>
      <c r="F27" s="265"/>
      <c r="G27" s="235"/>
      <c r="H27" s="235"/>
      <c r="I27" s="235"/>
      <c r="J27" s="263" t="s">
        <v>459</v>
      </c>
      <c r="K27" s="205">
        <v>880294.89</v>
      </c>
    </row>
    <row r="28" spans="1:11" s="239" customFormat="1" ht="15.95" customHeight="1">
      <c r="A28" s="192" t="s">
        <v>476</v>
      </c>
      <c r="B28" s="263"/>
      <c r="C28" s="263" t="s">
        <v>468</v>
      </c>
      <c r="D28" s="202"/>
      <c r="E28" s="202"/>
      <c r="F28" s="202"/>
      <c r="G28" s="263"/>
      <c r="H28" s="263"/>
      <c r="I28" s="263"/>
      <c r="J28" s="263" t="s">
        <v>459</v>
      </c>
      <c r="K28" s="205">
        <v>684326</v>
      </c>
    </row>
    <row r="29" spans="1:11" ht="15.95" customHeight="1">
      <c r="A29" s="233" t="s">
        <v>404</v>
      </c>
      <c r="B29" s="235"/>
      <c r="C29" s="235" t="s">
        <v>468</v>
      </c>
      <c r="D29" s="265"/>
      <c r="E29" s="265"/>
      <c r="F29" s="265"/>
      <c r="G29" s="235"/>
      <c r="H29" s="235"/>
      <c r="I29" s="235"/>
      <c r="J29" s="263" t="s">
        <v>459</v>
      </c>
      <c r="K29" s="205">
        <v>86866.07</v>
      </c>
    </row>
    <row r="30" spans="1:11" ht="15.95" customHeight="1">
      <c r="A30" s="241" t="s">
        <v>108</v>
      </c>
      <c r="B30" s="242"/>
      <c r="C30" s="242"/>
      <c r="D30" s="243"/>
      <c r="E30" s="243"/>
      <c r="F30" s="243"/>
      <c r="G30" s="242"/>
      <c r="H30" s="242"/>
      <c r="I30" s="242"/>
      <c r="J30" s="242"/>
      <c r="K30" s="276">
        <f>+K8+K10+K15+K17+K20+K21+K24+K25</f>
        <v>68389179.24000001</v>
      </c>
    </row>
    <row r="31" spans="1:11">
      <c r="A31" s="245"/>
      <c r="B31" s="246"/>
      <c r="C31" s="246"/>
      <c r="D31" s="246"/>
      <c r="E31" s="246"/>
      <c r="F31" s="246"/>
      <c r="G31" s="246"/>
      <c r="H31" s="246"/>
      <c r="I31" s="246"/>
      <c r="J31" s="246"/>
      <c r="K31" s="246"/>
    </row>
    <row r="32" spans="1:11">
      <c r="A32" s="295"/>
    </row>
    <row r="33" spans="1:1" s="239" customFormat="1" ht="16.5">
      <c r="A33" s="279"/>
    </row>
    <row r="34" spans="1:1" s="239" customFormat="1" ht="16.5">
      <c r="A34" s="279"/>
    </row>
    <row r="35" spans="1:1" s="239" customFormat="1" ht="16.5">
      <c r="A35" s="279"/>
    </row>
    <row r="36" spans="1:1" s="239" customFormat="1" ht="16.5">
      <c r="A36" s="279"/>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4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K47"/>
  <sheetViews>
    <sheetView showGridLines="0" workbookViewId="0"/>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177" customFormat="1" ht="21" customHeight="1">
      <c r="A1" s="175" t="s">
        <v>235</v>
      </c>
      <c r="B1" s="176"/>
    </row>
    <row r="2" spans="1:11" s="177" customFormat="1" ht="19.5" customHeight="1">
      <c r="A2" s="178" t="s">
        <v>477</v>
      </c>
      <c r="B2" s="176"/>
      <c r="C2" s="179"/>
      <c r="D2" s="179"/>
      <c r="E2" s="179"/>
      <c r="F2" s="179"/>
      <c r="G2" s="179"/>
      <c r="H2" s="179"/>
      <c r="I2" s="179"/>
      <c r="J2" s="179"/>
      <c r="K2" s="180" t="s">
        <v>234</v>
      </c>
    </row>
    <row r="3" spans="1:11" s="177" customFormat="1" ht="22.5" customHeight="1">
      <c r="A3" s="181" t="s">
        <v>238</v>
      </c>
      <c r="B3" s="176"/>
      <c r="C3" s="179"/>
      <c r="D3" s="179"/>
      <c r="E3" s="179"/>
      <c r="F3" s="179"/>
      <c r="G3" s="179"/>
      <c r="H3" s="179"/>
      <c r="I3" s="179"/>
      <c r="J3" s="179"/>
      <c r="K3" s="179"/>
    </row>
    <row r="4" spans="1:11" s="177" customFormat="1" ht="25.5" customHeight="1">
      <c r="A4" s="175" t="s">
        <v>232</v>
      </c>
      <c r="B4" s="176"/>
      <c r="C4" s="179"/>
      <c r="D4" s="179"/>
      <c r="E4" s="179"/>
      <c r="F4" s="179"/>
      <c r="G4" s="179"/>
      <c r="H4" s="179"/>
      <c r="I4" s="179"/>
      <c r="J4" s="179"/>
      <c r="K4" s="179"/>
    </row>
    <row r="5" spans="1:11" s="177" customFormat="1">
      <c r="A5" s="247"/>
      <c r="B5" s="176"/>
      <c r="C5" s="179"/>
      <c r="D5" s="179"/>
      <c r="E5" s="179"/>
      <c r="F5" s="179"/>
      <c r="G5" s="179"/>
      <c r="H5" s="179"/>
      <c r="I5" s="179"/>
      <c r="J5" s="179"/>
      <c r="K5" s="179"/>
    </row>
    <row r="6" spans="1:11" s="177" customFormat="1">
      <c r="A6" s="182" t="s">
        <v>228</v>
      </c>
      <c r="B6" s="182" t="s">
        <v>227</v>
      </c>
      <c r="C6" s="182" t="s">
        <v>226</v>
      </c>
      <c r="D6" s="182"/>
      <c r="E6" s="183" t="s">
        <v>225</v>
      </c>
      <c r="F6" s="183"/>
      <c r="G6" s="182" t="s">
        <v>224</v>
      </c>
      <c r="H6" s="1381" t="s">
        <v>223</v>
      </c>
      <c r="I6" s="1381"/>
      <c r="J6" s="182" t="s">
        <v>222</v>
      </c>
      <c r="K6" s="182" t="s">
        <v>221</v>
      </c>
    </row>
    <row r="7" spans="1:11" s="186" customFormat="1">
      <c r="A7" s="1382" t="s">
        <v>220</v>
      </c>
      <c r="B7" s="1379" t="s">
        <v>219</v>
      </c>
      <c r="C7" s="1379" t="s">
        <v>218</v>
      </c>
      <c r="D7" s="1379" t="s">
        <v>217</v>
      </c>
      <c r="E7" s="1379" t="s">
        <v>216</v>
      </c>
      <c r="F7" s="1379"/>
      <c r="G7" s="1379" t="s">
        <v>215</v>
      </c>
      <c r="H7" s="1379" t="s">
        <v>214</v>
      </c>
      <c r="I7" s="1379"/>
      <c r="J7" s="1379" t="s">
        <v>240</v>
      </c>
      <c r="K7" s="1380" t="s">
        <v>212</v>
      </c>
    </row>
    <row r="8" spans="1:11" s="186" customFormat="1">
      <c r="A8" s="1382"/>
      <c r="B8" s="1379"/>
      <c r="C8" s="1379"/>
      <c r="D8" s="1379"/>
      <c r="E8" s="187" t="s">
        <v>211</v>
      </c>
      <c r="F8" s="187" t="s">
        <v>210</v>
      </c>
      <c r="G8" s="1379"/>
      <c r="H8" s="187" t="s">
        <v>211</v>
      </c>
      <c r="I8" s="187" t="s">
        <v>210</v>
      </c>
      <c r="J8" s="1379"/>
      <c r="K8" s="1380"/>
    </row>
    <row r="9" spans="1:11" ht="15.95" customHeight="1">
      <c r="A9" s="188" t="s">
        <v>208</v>
      </c>
      <c r="B9" s="189"/>
      <c r="C9" s="189"/>
      <c r="D9" s="189"/>
      <c r="E9" s="189"/>
      <c r="F9" s="189"/>
      <c r="G9" s="189"/>
      <c r="H9" s="189"/>
      <c r="I9" s="189"/>
      <c r="J9" s="189"/>
      <c r="K9" s="190">
        <f>SUM(K10)</f>
        <v>0</v>
      </c>
    </row>
    <row r="10" spans="1:11" ht="19.5" customHeight="1">
      <c r="A10" s="192" t="s">
        <v>478</v>
      </c>
      <c r="B10" s="193"/>
      <c r="C10" s="193"/>
      <c r="D10" s="194"/>
      <c r="E10" s="194"/>
      <c r="F10" s="194"/>
      <c r="G10" s="193"/>
      <c r="H10" s="193"/>
      <c r="I10" s="193"/>
      <c r="J10" s="193"/>
      <c r="K10" s="195"/>
    </row>
    <row r="11" spans="1:11" ht="15.95" customHeight="1">
      <c r="A11" s="188" t="s">
        <v>207</v>
      </c>
      <c r="B11" s="189"/>
      <c r="C11" s="189"/>
      <c r="D11" s="196"/>
      <c r="E11" s="196"/>
      <c r="F11" s="196"/>
      <c r="G11" s="189"/>
      <c r="H11" s="189"/>
      <c r="I11" s="189"/>
      <c r="J11" s="189"/>
      <c r="K11" s="190">
        <f>SUM(K12:K21)</f>
        <v>6525514.4499999993</v>
      </c>
    </row>
    <row r="12" spans="1:11" ht="15.95" customHeight="1">
      <c r="A12" s="192" t="s">
        <v>479</v>
      </c>
      <c r="B12" s="193" t="s">
        <v>480</v>
      </c>
      <c r="C12" s="193" t="s">
        <v>109</v>
      </c>
      <c r="D12" s="194">
        <v>0.14000000000000001</v>
      </c>
      <c r="E12" s="194"/>
      <c r="F12" s="194"/>
      <c r="G12" s="193"/>
      <c r="H12" s="193"/>
      <c r="I12" s="193"/>
      <c r="J12" s="193" t="s">
        <v>481</v>
      </c>
      <c r="K12" s="195">
        <v>3926647.02</v>
      </c>
    </row>
    <row r="13" spans="1:11" ht="15.95" customHeight="1">
      <c r="A13" s="192" t="s">
        <v>365</v>
      </c>
      <c r="B13" s="193" t="s">
        <v>482</v>
      </c>
      <c r="C13" s="193" t="s">
        <v>205</v>
      </c>
      <c r="D13" s="236" t="s">
        <v>483</v>
      </c>
      <c r="E13" s="236"/>
      <c r="F13" s="236"/>
      <c r="G13" s="193"/>
      <c r="H13" s="193"/>
      <c r="I13" s="193"/>
      <c r="J13" s="193" t="s">
        <v>484</v>
      </c>
      <c r="K13" s="195">
        <v>1414293.45</v>
      </c>
    </row>
    <row r="14" spans="1:11" ht="15.95" customHeight="1">
      <c r="A14" s="192" t="s">
        <v>485</v>
      </c>
      <c r="B14" s="193" t="s">
        <v>486</v>
      </c>
      <c r="C14" s="193" t="s">
        <v>109</v>
      </c>
      <c r="D14" s="236" t="s">
        <v>487</v>
      </c>
      <c r="E14" s="236" t="s">
        <v>488</v>
      </c>
      <c r="F14" s="236" t="s">
        <v>489</v>
      </c>
      <c r="G14" s="193" t="s">
        <v>490</v>
      </c>
      <c r="H14" s="237"/>
      <c r="I14" s="237"/>
      <c r="J14" s="193" t="s">
        <v>484</v>
      </c>
      <c r="K14" s="195">
        <v>1184573.98</v>
      </c>
    </row>
    <row r="15" spans="1:11" ht="15.95" customHeight="1">
      <c r="A15" s="192"/>
      <c r="B15" s="193"/>
      <c r="C15" s="193"/>
      <c r="D15" s="194"/>
      <c r="E15" s="194"/>
      <c r="F15" s="194"/>
      <c r="G15" s="193"/>
      <c r="H15" s="193"/>
      <c r="I15" s="193"/>
      <c r="J15" s="193"/>
      <c r="K15" s="195"/>
    </row>
    <row r="16" spans="1:11" ht="15.95" customHeight="1">
      <c r="A16" s="192"/>
      <c r="B16" s="193"/>
      <c r="C16" s="193"/>
      <c r="D16" s="194"/>
      <c r="E16" s="194"/>
      <c r="F16" s="194"/>
      <c r="G16" s="193"/>
      <c r="H16" s="193"/>
      <c r="I16" s="193"/>
      <c r="J16" s="193"/>
      <c r="K16" s="195"/>
    </row>
    <row r="17" spans="1:11" ht="15.95" customHeight="1">
      <c r="A17" s="192"/>
      <c r="B17" s="193"/>
      <c r="C17" s="193"/>
      <c r="D17" s="194"/>
      <c r="E17" s="194"/>
      <c r="F17" s="194"/>
      <c r="G17" s="193"/>
      <c r="H17" s="193"/>
      <c r="I17" s="193"/>
      <c r="J17" s="193"/>
      <c r="K17" s="195"/>
    </row>
    <row r="18" spans="1:11" ht="15.95" customHeight="1">
      <c r="A18" s="192"/>
      <c r="B18" s="193"/>
      <c r="C18" s="193"/>
      <c r="D18" s="194"/>
      <c r="E18" s="194"/>
      <c r="F18" s="194"/>
      <c r="G18" s="193"/>
      <c r="H18" s="193"/>
      <c r="I18" s="193"/>
      <c r="J18" s="193"/>
      <c r="K18" s="195"/>
    </row>
    <row r="19" spans="1:11" ht="15.95" customHeight="1">
      <c r="A19" s="192"/>
      <c r="B19" s="193"/>
      <c r="C19" s="193"/>
      <c r="D19" s="194"/>
      <c r="E19" s="194"/>
      <c r="F19" s="194"/>
      <c r="G19" s="193"/>
      <c r="H19" s="193"/>
      <c r="I19" s="193"/>
      <c r="J19" s="193"/>
      <c r="K19" s="195"/>
    </row>
    <row r="20" spans="1:11" ht="15.95" customHeight="1">
      <c r="A20" s="192"/>
      <c r="B20" s="193"/>
      <c r="C20" s="193"/>
      <c r="D20" s="194"/>
      <c r="E20" s="194"/>
      <c r="F20" s="194"/>
      <c r="G20" s="193"/>
      <c r="H20" s="193"/>
      <c r="I20" s="193"/>
      <c r="J20" s="193"/>
      <c r="K20" s="195"/>
    </row>
    <row r="21" spans="1:11" ht="15.95" customHeight="1">
      <c r="A21" s="192"/>
      <c r="B21" s="193"/>
      <c r="C21" s="193"/>
      <c r="D21" s="194"/>
      <c r="E21" s="194"/>
      <c r="F21" s="194"/>
      <c r="G21" s="193"/>
      <c r="H21" s="193"/>
      <c r="I21" s="193"/>
      <c r="J21" s="193"/>
      <c r="K21" s="195"/>
    </row>
    <row r="22" spans="1:11" s="177" customFormat="1" ht="15.95" customHeight="1">
      <c r="A22" s="209" t="s">
        <v>191</v>
      </c>
      <c r="B22" s="210"/>
      <c r="C22" s="210"/>
      <c r="D22" s="211"/>
      <c r="E22" s="211"/>
      <c r="F22" s="211"/>
      <c r="G22" s="210"/>
      <c r="H22" s="210"/>
      <c r="I22" s="210"/>
      <c r="J22" s="210"/>
      <c r="K22" s="213">
        <f>SUM(K23:K24)</f>
        <v>0</v>
      </c>
    </row>
    <row r="23" spans="1:11" s="177" customFormat="1" ht="15.95" customHeight="1">
      <c r="A23" s="192" t="s">
        <v>478</v>
      </c>
      <c r="B23" s="217"/>
      <c r="C23" s="217"/>
      <c r="D23" s="216"/>
      <c r="E23" s="216"/>
      <c r="F23" s="216"/>
      <c r="G23" s="217"/>
      <c r="H23" s="217"/>
      <c r="I23" s="217"/>
      <c r="J23" s="217"/>
      <c r="K23" s="219"/>
    </row>
    <row r="24" spans="1:11" s="177" customFormat="1" ht="15.95" customHeight="1">
      <c r="A24" s="192"/>
      <c r="B24" s="217"/>
      <c r="C24" s="217"/>
      <c r="D24" s="216"/>
      <c r="E24" s="216"/>
      <c r="F24" s="216"/>
      <c r="G24" s="217"/>
      <c r="H24" s="217"/>
      <c r="I24" s="217"/>
      <c r="J24" s="217"/>
      <c r="K24" s="219"/>
    </row>
    <row r="25" spans="1:11" ht="15.95" customHeight="1">
      <c r="A25" s="188" t="s">
        <v>179</v>
      </c>
      <c r="B25" s="189"/>
      <c r="C25" s="189"/>
      <c r="D25" s="196"/>
      <c r="E25" s="196"/>
      <c r="F25" s="196"/>
      <c r="G25" s="189"/>
      <c r="H25" s="189"/>
      <c r="I25" s="189"/>
      <c r="J25" s="189"/>
      <c r="K25" s="190">
        <f>SUM(K26:K32)</f>
        <v>188580.75</v>
      </c>
    </row>
    <row r="26" spans="1:11" ht="15.95" customHeight="1">
      <c r="A26" s="192" t="s">
        <v>172</v>
      </c>
      <c r="B26" s="193" t="s">
        <v>491</v>
      </c>
      <c r="C26" s="193" t="s">
        <v>492</v>
      </c>
      <c r="D26" s="194"/>
      <c r="E26" s="194"/>
      <c r="F26" s="194"/>
      <c r="G26" s="193"/>
      <c r="H26" s="193"/>
      <c r="I26" s="193"/>
      <c r="J26" s="193" t="s">
        <v>493</v>
      </c>
      <c r="K26" s="195">
        <v>179280.75</v>
      </c>
    </row>
    <row r="27" spans="1:11" ht="15.95" customHeight="1">
      <c r="A27" s="192" t="s">
        <v>494</v>
      </c>
      <c r="B27" s="193" t="s">
        <v>491</v>
      </c>
      <c r="C27" s="193" t="s">
        <v>492</v>
      </c>
      <c r="D27" s="194" t="s">
        <v>495</v>
      </c>
      <c r="E27" s="194" t="s">
        <v>495</v>
      </c>
      <c r="F27" s="194" t="s">
        <v>495</v>
      </c>
      <c r="G27" s="237" t="s">
        <v>490</v>
      </c>
      <c r="H27" s="193" t="s">
        <v>495</v>
      </c>
      <c r="I27" s="193" t="s">
        <v>495</v>
      </c>
      <c r="J27" s="193" t="s">
        <v>493</v>
      </c>
      <c r="K27" s="195">
        <v>9300</v>
      </c>
    </row>
    <row r="28" spans="1:11" ht="15.95" customHeight="1">
      <c r="A28" s="192"/>
      <c r="B28" s="193"/>
      <c r="C28" s="193"/>
      <c r="D28" s="194"/>
      <c r="E28" s="194"/>
      <c r="F28" s="194"/>
      <c r="G28" s="193"/>
      <c r="H28" s="193"/>
      <c r="I28" s="193"/>
      <c r="J28" s="193"/>
      <c r="K28" s="195"/>
    </row>
    <row r="29" spans="1:11" ht="15.95" customHeight="1">
      <c r="A29" s="192"/>
      <c r="B29" s="193"/>
      <c r="C29" s="193"/>
      <c r="D29" s="194"/>
      <c r="E29" s="194"/>
      <c r="F29" s="194"/>
      <c r="G29" s="193"/>
      <c r="H29" s="193"/>
      <c r="I29" s="193"/>
      <c r="J29" s="193"/>
      <c r="K29" s="195"/>
    </row>
    <row r="30" spans="1:11" ht="15.95" customHeight="1">
      <c r="A30" s="192"/>
      <c r="B30" s="193"/>
      <c r="C30" s="193"/>
      <c r="D30" s="194"/>
      <c r="E30" s="194"/>
      <c r="F30" s="194"/>
      <c r="G30" s="193"/>
      <c r="H30" s="193"/>
      <c r="I30" s="193"/>
      <c r="J30" s="193"/>
      <c r="K30" s="195"/>
    </row>
    <row r="31" spans="1:11" ht="15.95" customHeight="1">
      <c r="A31" s="192"/>
      <c r="B31" s="193"/>
      <c r="C31" s="193"/>
      <c r="D31" s="194"/>
      <c r="E31" s="194"/>
      <c r="F31" s="194"/>
      <c r="G31" s="193"/>
      <c r="H31" s="193"/>
      <c r="I31" s="193"/>
      <c r="J31" s="193"/>
      <c r="K31" s="195"/>
    </row>
    <row r="32" spans="1:11" ht="15.95" customHeight="1">
      <c r="A32" s="192"/>
      <c r="B32" s="193"/>
      <c r="C32" s="193"/>
      <c r="D32" s="194"/>
      <c r="E32" s="194"/>
      <c r="F32" s="194"/>
      <c r="G32" s="193"/>
      <c r="H32" s="193"/>
      <c r="I32" s="193"/>
      <c r="J32" s="193"/>
      <c r="K32" s="195"/>
    </row>
    <row r="33" spans="1:11" ht="15.95" customHeight="1">
      <c r="A33" s="188" t="s">
        <v>152</v>
      </c>
      <c r="B33" s="189"/>
      <c r="C33" s="189"/>
      <c r="D33" s="196"/>
      <c r="E33" s="196"/>
      <c r="F33" s="196"/>
      <c r="G33" s="189"/>
      <c r="H33" s="189"/>
      <c r="I33" s="189"/>
      <c r="J33" s="189"/>
      <c r="K33" s="190">
        <f>SUM(K34:K36)</f>
        <v>55300</v>
      </c>
    </row>
    <row r="34" spans="1:11" ht="15.95" customHeight="1">
      <c r="A34" s="192" t="s">
        <v>496</v>
      </c>
      <c r="B34" s="193" t="s">
        <v>497</v>
      </c>
      <c r="C34" s="193" t="s">
        <v>492</v>
      </c>
      <c r="D34" s="194" t="s">
        <v>495</v>
      </c>
      <c r="E34" s="194" t="s">
        <v>495</v>
      </c>
      <c r="F34" s="194" t="s">
        <v>495</v>
      </c>
      <c r="G34" s="193" t="s">
        <v>490</v>
      </c>
      <c r="H34" s="193" t="s">
        <v>490</v>
      </c>
      <c r="I34" s="193" t="s">
        <v>490</v>
      </c>
      <c r="J34" s="193" t="s">
        <v>493</v>
      </c>
      <c r="K34" s="195">
        <v>55300</v>
      </c>
    </row>
    <row r="35" spans="1:11" ht="15.95" customHeight="1">
      <c r="A35" s="256"/>
      <c r="B35" s="193"/>
      <c r="C35" s="193"/>
      <c r="D35" s="194"/>
      <c r="E35" s="194"/>
      <c r="F35" s="194"/>
      <c r="G35" s="193"/>
      <c r="H35" s="193"/>
      <c r="I35" s="193"/>
      <c r="J35" s="193"/>
      <c r="K35" s="195"/>
    </row>
    <row r="36" spans="1:11" ht="15.95" customHeight="1">
      <c r="A36" s="256"/>
      <c r="B36" s="193"/>
      <c r="C36" s="193"/>
      <c r="D36" s="194"/>
      <c r="E36" s="194"/>
      <c r="F36" s="194"/>
      <c r="G36" s="193"/>
      <c r="H36" s="193"/>
      <c r="I36" s="193"/>
      <c r="J36" s="193"/>
      <c r="K36" s="195"/>
    </row>
    <row r="37" spans="1:11" ht="15.95" customHeight="1">
      <c r="A37" s="188" t="s">
        <v>151</v>
      </c>
      <c r="B37" s="189"/>
      <c r="C37" s="189"/>
      <c r="D37" s="196"/>
      <c r="E37" s="196"/>
      <c r="F37" s="196"/>
      <c r="G37" s="189"/>
      <c r="H37" s="189"/>
      <c r="I37" s="189"/>
      <c r="J37" s="189"/>
      <c r="K37" s="190">
        <f>SUM(K38:K40)</f>
        <v>30652</v>
      </c>
    </row>
    <row r="38" spans="1:11" ht="15.95" customHeight="1">
      <c r="A38" s="192" t="s">
        <v>498</v>
      </c>
      <c r="B38" s="193" t="s">
        <v>499</v>
      </c>
      <c r="C38" s="193" t="s">
        <v>500</v>
      </c>
      <c r="D38" s="194" t="s">
        <v>495</v>
      </c>
      <c r="E38" s="194" t="s">
        <v>495</v>
      </c>
      <c r="F38" s="194" t="s">
        <v>495</v>
      </c>
      <c r="G38" s="193" t="s">
        <v>495</v>
      </c>
      <c r="H38" s="193" t="s">
        <v>501</v>
      </c>
      <c r="I38" s="193" t="s">
        <v>501</v>
      </c>
      <c r="J38" s="193" t="s">
        <v>502</v>
      </c>
      <c r="K38" s="195">
        <v>30652</v>
      </c>
    </row>
    <row r="39" spans="1:11" ht="15.95" customHeight="1">
      <c r="A39" s="256"/>
      <c r="B39" s="193"/>
      <c r="C39" s="193"/>
      <c r="D39" s="194"/>
      <c r="E39" s="194"/>
      <c r="F39" s="194"/>
      <c r="G39" s="193"/>
      <c r="H39" s="193"/>
      <c r="I39" s="193"/>
      <c r="J39" s="193"/>
      <c r="K39" s="195"/>
    </row>
    <row r="40" spans="1:11" ht="15.95" customHeight="1">
      <c r="A40" s="256"/>
      <c r="B40" s="193"/>
      <c r="C40" s="193"/>
      <c r="D40" s="194"/>
      <c r="E40" s="194"/>
      <c r="F40" s="194"/>
      <c r="G40" s="193"/>
      <c r="H40" s="193"/>
      <c r="I40" s="193"/>
      <c r="J40" s="193"/>
      <c r="K40" s="195"/>
    </row>
    <row r="41" spans="1:11" s="177" customFormat="1" ht="15.95" customHeight="1">
      <c r="A41" s="209" t="s">
        <v>137</v>
      </c>
      <c r="B41" s="210"/>
      <c r="C41" s="210"/>
      <c r="D41" s="211"/>
      <c r="E41" s="211"/>
      <c r="F41" s="211"/>
      <c r="G41" s="210"/>
      <c r="H41" s="210"/>
      <c r="I41" s="210"/>
      <c r="J41" s="210"/>
      <c r="K41" s="213">
        <f>SUM(K42)</f>
        <v>0</v>
      </c>
    </row>
    <row r="42" spans="1:11" s="177" customFormat="1" ht="15.95" customHeight="1">
      <c r="A42" s="231" t="s">
        <v>478</v>
      </c>
      <c r="B42" s="217"/>
      <c r="C42" s="217"/>
      <c r="D42" s="216"/>
      <c r="E42" s="216"/>
      <c r="F42" s="216"/>
      <c r="G42" s="217"/>
      <c r="H42" s="217"/>
      <c r="I42" s="217"/>
      <c r="J42" s="217"/>
      <c r="K42" s="219"/>
    </row>
    <row r="43" spans="1:11" ht="15.95" customHeight="1">
      <c r="A43" s="188" t="s">
        <v>136</v>
      </c>
      <c r="B43" s="189"/>
      <c r="C43" s="189"/>
      <c r="D43" s="196"/>
      <c r="E43" s="196"/>
      <c r="F43" s="196"/>
      <c r="G43" s="189"/>
      <c r="H43" s="189"/>
      <c r="I43" s="189"/>
      <c r="J43" s="189"/>
      <c r="K43" s="190">
        <f>SUM(K44)</f>
        <v>0</v>
      </c>
    </row>
    <row r="44" spans="1:11" ht="15.95" customHeight="1">
      <c r="A44" s="192" t="s">
        <v>478</v>
      </c>
      <c r="B44" s="193"/>
      <c r="C44" s="193"/>
      <c r="D44" s="194"/>
      <c r="E44" s="194"/>
      <c r="F44" s="194"/>
      <c r="G44" s="193"/>
      <c r="H44" s="193"/>
      <c r="I44" s="193"/>
      <c r="J44" s="193"/>
      <c r="K44" s="195"/>
    </row>
    <row r="45" spans="1:11" ht="15.95" customHeight="1">
      <c r="A45" s="241" t="s">
        <v>108</v>
      </c>
      <c r="B45" s="242"/>
      <c r="C45" s="242"/>
      <c r="D45" s="243"/>
      <c r="E45" s="243"/>
      <c r="F45" s="243"/>
      <c r="G45" s="242"/>
      <c r="H45" s="242"/>
      <c r="I45" s="242"/>
      <c r="J45" s="242"/>
      <c r="K45" s="276">
        <f>+K9+K11+K22+K25+K33+K37+K41+K43</f>
        <v>6800047.1999999993</v>
      </c>
    </row>
    <row r="46" spans="1:11">
      <c r="A46" s="245"/>
      <c r="B46" s="246"/>
      <c r="C46" s="246"/>
      <c r="D46" s="246"/>
      <c r="E46" s="246"/>
      <c r="F46" s="246"/>
      <c r="G46" s="246"/>
      <c r="H46" s="246"/>
      <c r="I46" s="246"/>
      <c r="J46" s="246"/>
      <c r="K46" s="246"/>
    </row>
    <row r="47" spans="1:11">
      <c r="A47" s="309"/>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O73"/>
  <sheetViews>
    <sheetView showGridLines="0" workbookViewId="0"/>
  </sheetViews>
  <sheetFormatPr baseColWidth="10" defaultRowHeight="11.25"/>
  <cols>
    <col min="1" max="1" width="51.5703125" style="328" customWidth="1"/>
    <col min="2" max="2" width="8.42578125" style="328" customWidth="1"/>
    <col min="3" max="3" width="10.28515625" style="328" customWidth="1"/>
    <col min="4" max="4" width="7.85546875" style="328" customWidth="1"/>
    <col min="5" max="5" width="6.5703125" style="328" customWidth="1"/>
    <col min="6" max="6" width="7.140625" style="328" customWidth="1"/>
    <col min="7" max="7" width="11" style="328" customWidth="1"/>
    <col min="8" max="9" width="10.7109375" style="328" bestFit="1" customWidth="1"/>
    <col min="10" max="10" width="14.28515625" style="328" customWidth="1"/>
    <col min="11" max="11" width="13.7109375" style="328" customWidth="1"/>
    <col min="12" max="14" width="12" style="328" bestFit="1" customWidth="1"/>
    <col min="15" max="256" width="11.42578125" style="328"/>
    <col min="257" max="257" width="58.28515625" style="328" customWidth="1"/>
    <col min="258" max="258" width="13.85546875" style="328" customWidth="1"/>
    <col min="259" max="259" width="15.28515625" style="328" customWidth="1"/>
    <col min="260" max="260" width="9.7109375" style="328" customWidth="1"/>
    <col min="261" max="261" width="9.5703125" style="328" customWidth="1"/>
    <col min="262" max="262" width="8.28515625" style="328" customWidth="1"/>
    <col min="263" max="263" width="10.85546875" style="328" customWidth="1"/>
    <col min="264" max="264" width="9.28515625" style="328" customWidth="1"/>
    <col min="265" max="265" width="7.140625" style="328" customWidth="1"/>
    <col min="266" max="266" width="15.28515625" style="328" customWidth="1"/>
    <col min="267" max="267" width="14.28515625" style="328" customWidth="1"/>
    <col min="268" max="512" width="11.42578125" style="328"/>
    <col min="513" max="513" width="58.28515625" style="328" customWidth="1"/>
    <col min="514" max="514" width="13.85546875" style="328" customWidth="1"/>
    <col min="515" max="515" width="15.28515625" style="328" customWidth="1"/>
    <col min="516" max="516" width="9.7109375" style="328" customWidth="1"/>
    <col min="517" max="517" width="9.5703125" style="328" customWidth="1"/>
    <col min="518" max="518" width="8.28515625" style="328" customWidth="1"/>
    <col min="519" max="519" width="10.85546875" style="328" customWidth="1"/>
    <col min="520" max="520" width="9.28515625" style="328" customWidth="1"/>
    <col min="521" max="521" width="7.140625" style="328" customWidth="1"/>
    <col min="522" max="522" width="15.28515625" style="328" customWidth="1"/>
    <col min="523" max="523" width="14.28515625" style="328" customWidth="1"/>
    <col min="524" max="768" width="11.42578125" style="328"/>
    <col min="769" max="769" width="58.28515625" style="328" customWidth="1"/>
    <col min="770" max="770" width="13.85546875" style="328" customWidth="1"/>
    <col min="771" max="771" width="15.28515625" style="328" customWidth="1"/>
    <col min="772" max="772" width="9.7109375" style="328" customWidth="1"/>
    <col min="773" max="773" width="9.5703125" style="328" customWidth="1"/>
    <col min="774" max="774" width="8.28515625" style="328" customWidth="1"/>
    <col min="775" max="775" width="10.85546875" style="328" customWidth="1"/>
    <col min="776" max="776" width="9.28515625" style="328" customWidth="1"/>
    <col min="777" max="777" width="7.140625" style="328" customWidth="1"/>
    <col min="778" max="778" width="15.28515625" style="328" customWidth="1"/>
    <col min="779" max="779" width="14.28515625" style="328" customWidth="1"/>
    <col min="780" max="1024" width="11.42578125" style="328"/>
    <col min="1025" max="1025" width="58.28515625" style="328" customWidth="1"/>
    <col min="1026" max="1026" width="13.85546875" style="328" customWidth="1"/>
    <col min="1027" max="1027" width="15.28515625" style="328" customWidth="1"/>
    <col min="1028" max="1028" width="9.7109375" style="328" customWidth="1"/>
    <col min="1029" max="1029" width="9.5703125" style="328" customWidth="1"/>
    <col min="1030" max="1030" width="8.28515625" style="328" customWidth="1"/>
    <col min="1031" max="1031" width="10.85546875" style="328" customWidth="1"/>
    <col min="1032" max="1032" width="9.28515625" style="328" customWidth="1"/>
    <col min="1033" max="1033" width="7.140625" style="328" customWidth="1"/>
    <col min="1034" max="1034" width="15.28515625" style="328" customWidth="1"/>
    <col min="1035" max="1035" width="14.28515625" style="328" customWidth="1"/>
    <col min="1036" max="1280" width="11.42578125" style="328"/>
    <col min="1281" max="1281" width="58.28515625" style="328" customWidth="1"/>
    <col min="1282" max="1282" width="13.85546875" style="328" customWidth="1"/>
    <col min="1283" max="1283" width="15.28515625" style="328" customWidth="1"/>
    <col min="1284" max="1284" width="9.7109375" style="328" customWidth="1"/>
    <col min="1285" max="1285" width="9.5703125" style="328" customWidth="1"/>
    <col min="1286" max="1286" width="8.28515625" style="328" customWidth="1"/>
    <col min="1287" max="1287" width="10.85546875" style="328" customWidth="1"/>
    <col min="1288" max="1288" width="9.28515625" style="328" customWidth="1"/>
    <col min="1289" max="1289" width="7.140625" style="328" customWidth="1"/>
    <col min="1290" max="1290" width="15.28515625" style="328" customWidth="1"/>
    <col min="1291" max="1291" width="14.28515625" style="328" customWidth="1"/>
    <col min="1292" max="1536" width="11.42578125" style="328"/>
    <col min="1537" max="1537" width="58.28515625" style="328" customWidth="1"/>
    <col min="1538" max="1538" width="13.85546875" style="328" customWidth="1"/>
    <col min="1539" max="1539" width="15.28515625" style="328" customWidth="1"/>
    <col min="1540" max="1540" width="9.7109375" style="328" customWidth="1"/>
    <col min="1541" max="1541" width="9.5703125" style="328" customWidth="1"/>
    <col min="1542" max="1542" width="8.28515625" style="328" customWidth="1"/>
    <col min="1543" max="1543" width="10.85546875" style="328" customWidth="1"/>
    <col min="1544" max="1544" width="9.28515625" style="328" customWidth="1"/>
    <col min="1545" max="1545" width="7.140625" style="328" customWidth="1"/>
    <col min="1546" max="1546" width="15.28515625" style="328" customWidth="1"/>
    <col min="1547" max="1547" width="14.28515625" style="328" customWidth="1"/>
    <col min="1548" max="1792" width="11.42578125" style="328"/>
    <col min="1793" max="1793" width="58.28515625" style="328" customWidth="1"/>
    <col min="1794" max="1794" width="13.85546875" style="328" customWidth="1"/>
    <col min="1795" max="1795" width="15.28515625" style="328" customWidth="1"/>
    <col min="1796" max="1796" width="9.7109375" style="328" customWidth="1"/>
    <col min="1797" max="1797" width="9.5703125" style="328" customWidth="1"/>
    <col min="1798" max="1798" width="8.28515625" style="328" customWidth="1"/>
    <col min="1799" max="1799" width="10.85546875" style="328" customWidth="1"/>
    <col min="1800" max="1800" width="9.28515625" style="328" customWidth="1"/>
    <col min="1801" max="1801" width="7.140625" style="328" customWidth="1"/>
    <col min="1802" max="1802" width="15.28515625" style="328" customWidth="1"/>
    <col min="1803" max="1803" width="14.28515625" style="328" customWidth="1"/>
    <col min="1804" max="2048" width="11.42578125" style="328"/>
    <col min="2049" max="2049" width="58.28515625" style="328" customWidth="1"/>
    <col min="2050" max="2050" width="13.85546875" style="328" customWidth="1"/>
    <col min="2051" max="2051" width="15.28515625" style="328" customWidth="1"/>
    <col min="2052" max="2052" width="9.7109375" style="328" customWidth="1"/>
    <col min="2053" max="2053" width="9.5703125" style="328" customWidth="1"/>
    <col min="2054" max="2054" width="8.28515625" style="328" customWidth="1"/>
    <col min="2055" max="2055" width="10.85546875" style="328" customWidth="1"/>
    <col min="2056" max="2056" width="9.28515625" style="328" customWidth="1"/>
    <col min="2057" max="2057" width="7.140625" style="328" customWidth="1"/>
    <col min="2058" max="2058" width="15.28515625" style="328" customWidth="1"/>
    <col min="2059" max="2059" width="14.28515625" style="328" customWidth="1"/>
    <col min="2060" max="2304" width="11.42578125" style="328"/>
    <col min="2305" max="2305" width="58.28515625" style="328" customWidth="1"/>
    <col min="2306" max="2306" width="13.85546875" style="328" customWidth="1"/>
    <col min="2307" max="2307" width="15.28515625" style="328" customWidth="1"/>
    <col min="2308" max="2308" width="9.7109375" style="328" customWidth="1"/>
    <col min="2309" max="2309" width="9.5703125" style="328" customWidth="1"/>
    <col min="2310" max="2310" width="8.28515625" style="328" customWidth="1"/>
    <col min="2311" max="2311" width="10.85546875" style="328" customWidth="1"/>
    <col min="2312" max="2312" width="9.28515625" style="328" customWidth="1"/>
    <col min="2313" max="2313" width="7.140625" style="328" customWidth="1"/>
    <col min="2314" max="2314" width="15.28515625" style="328" customWidth="1"/>
    <col min="2315" max="2315" width="14.28515625" style="328" customWidth="1"/>
    <col min="2316" max="2560" width="11.42578125" style="328"/>
    <col min="2561" max="2561" width="58.28515625" style="328" customWidth="1"/>
    <col min="2562" max="2562" width="13.85546875" style="328" customWidth="1"/>
    <col min="2563" max="2563" width="15.28515625" style="328" customWidth="1"/>
    <col min="2564" max="2564" width="9.7109375" style="328" customWidth="1"/>
    <col min="2565" max="2565" width="9.5703125" style="328" customWidth="1"/>
    <col min="2566" max="2566" width="8.28515625" style="328" customWidth="1"/>
    <col min="2567" max="2567" width="10.85546875" style="328" customWidth="1"/>
    <col min="2568" max="2568" width="9.28515625" style="328" customWidth="1"/>
    <col min="2569" max="2569" width="7.140625" style="328" customWidth="1"/>
    <col min="2570" max="2570" width="15.28515625" style="328" customWidth="1"/>
    <col min="2571" max="2571" width="14.28515625" style="328" customWidth="1"/>
    <col min="2572" max="2816" width="11.42578125" style="328"/>
    <col min="2817" max="2817" width="58.28515625" style="328" customWidth="1"/>
    <col min="2818" max="2818" width="13.85546875" style="328" customWidth="1"/>
    <col min="2819" max="2819" width="15.28515625" style="328" customWidth="1"/>
    <col min="2820" max="2820" width="9.7109375" style="328" customWidth="1"/>
    <col min="2821" max="2821" width="9.5703125" style="328" customWidth="1"/>
    <col min="2822" max="2822" width="8.28515625" style="328" customWidth="1"/>
    <col min="2823" max="2823" width="10.85546875" style="328" customWidth="1"/>
    <col min="2824" max="2824" width="9.28515625" style="328" customWidth="1"/>
    <col min="2825" max="2825" width="7.140625" style="328" customWidth="1"/>
    <col min="2826" max="2826" width="15.28515625" style="328" customWidth="1"/>
    <col min="2827" max="2827" width="14.28515625" style="328" customWidth="1"/>
    <col min="2828" max="3072" width="11.42578125" style="328"/>
    <col min="3073" max="3073" width="58.28515625" style="328" customWidth="1"/>
    <col min="3074" max="3074" width="13.85546875" style="328" customWidth="1"/>
    <col min="3075" max="3075" width="15.28515625" style="328" customWidth="1"/>
    <col min="3076" max="3076" width="9.7109375" style="328" customWidth="1"/>
    <col min="3077" max="3077" width="9.5703125" style="328" customWidth="1"/>
    <col min="3078" max="3078" width="8.28515625" style="328" customWidth="1"/>
    <col min="3079" max="3079" width="10.85546875" style="328" customWidth="1"/>
    <col min="3080" max="3080" width="9.28515625" style="328" customWidth="1"/>
    <col min="3081" max="3081" width="7.140625" style="328" customWidth="1"/>
    <col min="3082" max="3082" width="15.28515625" style="328" customWidth="1"/>
    <col min="3083" max="3083" width="14.28515625" style="328" customWidth="1"/>
    <col min="3084" max="3328" width="11.42578125" style="328"/>
    <col min="3329" max="3329" width="58.28515625" style="328" customWidth="1"/>
    <col min="3330" max="3330" width="13.85546875" style="328" customWidth="1"/>
    <col min="3331" max="3331" width="15.28515625" style="328" customWidth="1"/>
    <col min="3332" max="3332" width="9.7109375" style="328" customWidth="1"/>
    <col min="3333" max="3333" width="9.5703125" style="328" customWidth="1"/>
    <col min="3334" max="3334" width="8.28515625" style="328" customWidth="1"/>
    <col min="3335" max="3335" width="10.85546875" style="328" customWidth="1"/>
    <col min="3336" max="3336" width="9.28515625" style="328" customWidth="1"/>
    <col min="3337" max="3337" width="7.140625" style="328" customWidth="1"/>
    <col min="3338" max="3338" width="15.28515625" style="328" customWidth="1"/>
    <col min="3339" max="3339" width="14.28515625" style="328" customWidth="1"/>
    <col min="3340" max="3584" width="11.42578125" style="328"/>
    <col min="3585" max="3585" width="58.28515625" style="328" customWidth="1"/>
    <col min="3586" max="3586" width="13.85546875" style="328" customWidth="1"/>
    <col min="3587" max="3587" width="15.28515625" style="328" customWidth="1"/>
    <col min="3588" max="3588" width="9.7109375" style="328" customWidth="1"/>
    <col min="3589" max="3589" width="9.5703125" style="328" customWidth="1"/>
    <col min="3590" max="3590" width="8.28515625" style="328" customWidth="1"/>
    <col min="3591" max="3591" width="10.85546875" style="328" customWidth="1"/>
    <col min="3592" max="3592" width="9.28515625" style="328" customWidth="1"/>
    <col min="3593" max="3593" width="7.140625" style="328" customWidth="1"/>
    <col min="3594" max="3594" width="15.28515625" style="328" customWidth="1"/>
    <col min="3595" max="3595" width="14.28515625" style="328" customWidth="1"/>
    <col min="3596" max="3840" width="11.42578125" style="328"/>
    <col min="3841" max="3841" width="58.28515625" style="328" customWidth="1"/>
    <col min="3842" max="3842" width="13.85546875" style="328" customWidth="1"/>
    <col min="3843" max="3843" width="15.28515625" style="328" customWidth="1"/>
    <col min="3844" max="3844" width="9.7109375" style="328" customWidth="1"/>
    <col min="3845" max="3845" width="9.5703125" style="328" customWidth="1"/>
    <col min="3846" max="3846" width="8.28515625" style="328" customWidth="1"/>
    <col min="3847" max="3847" width="10.85546875" style="328" customWidth="1"/>
    <col min="3848" max="3848" width="9.28515625" style="328" customWidth="1"/>
    <col min="3849" max="3849" width="7.140625" style="328" customWidth="1"/>
    <col min="3850" max="3850" width="15.28515625" style="328" customWidth="1"/>
    <col min="3851" max="3851" width="14.28515625" style="328" customWidth="1"/>
    <col min="3852" max="4096" width="11.42578125" style="328"/>
    <col min="4097" max="4097" width="58.28515625" style="328" customWidth="1"/>
    <col min="4098" max="4098" width="13.85546875" style="328" customWidth="1"/>
    <col min="4099" max="4099" width="15.28515625" style="328" customWidth="1"/>
    <col min="4100" max="4100" width="9.7109375" style="328" customWidth="1"/>
    <col min="4101" max="4101" width="9.5703125" style="328" customWidth="1"/>
    <col min="4102" max="4102" width="8.28515625" style="328" customWidth="1"/>
    <col min="4103" max="4103" width="10.85546875" style="328" customWidth="1"/>
    <col min="4104" max="4104" width="9.28515625" style="328" customWidth="1"/>
    <col min="4105" max="4105" width="7.140625" style="328" customWidth="1"/>
    <col min="4106" max="4106" width="15.28515625" style="328" customWidth="1"/>
    <col min="4107" max="4107" width="14.28515625" style="328" customWidth="1"/>
    <col min="4108" max="4352" width="11.42578125" style="328"/>
    <col min="4353" max="4353" width="58.28515625" style="328" customWidth="1"/>
    <col min="4354" max="4354" width="13.85546875" style="328" customWidth="1"/>
    <col min="4355" max="4355" width="15.28515625" style="328" customWidth="1"/>
    <col min="4356" max="4356" width="9.7109375" style="328" customWidth="1"/>
    <col min="4357" max="4357" width="9.5703125" style="328" customWidth="1"/>
    <col min="4358" max="4358" width="8.28515625" style="328" customWidth="1"/>
    <col min="4359" max="4359" width="10.85546875" style="328" customWidth="1"/>
    <col min="4360" max="4360" width="9.28515625" style="328" customWidth="1"/>
    <col min="4361" max="4361" width="7.140625" style="328" customWidth="1"/>
    <col min="4362" max="4362" width="15.28515625" style="328" customWidth="1"/>
    <col min="4363" max="4363" width="14.28515625" style="328" customWidth="1"/>
    <col min="4364" max="4608" width="11.42578125" style="328"/>
    <col min="4609" max="4609" width="58.28515625" style="328" customWidth="1"/>
    <col min="4610" max="4610" width="13.85546875" style="328" customWidth="1"/>
    <col min="4611" max="4611" width="15.28515625" style="328" customWidth="1"/>
    <col min="4612" max="4612" width="9.7109375" style="328" customWidth="1"/>
    <col min="4613" max="4613" width="9.5703125" style="328" customWidth="1"/>
    <col min="4614" max="4614" width="8.28515625" style="328" customWidth="1"/>
    <col min="4615" max="4615" width="10.85546875" style="328" customWidth="1"/>
    <col min="4616" max="4616" width="9.28515625" style="328" customWidth="1"/>
    <col min="4617" max="4617" width="7.140625" style="328" customWidth="1"/>
    <col min="4618" max="4618" width="15.28515625" style="328" customWidth="1"/>
    <col min="4619" max="4619" width="14.28515625" style="328" customWidth="1"/>
    <col min="4620" max="4864" width="11.42578125" style="328"/>
    <col min="4865" max="4865" width="58.28515625" style="328" customWidth="1"/>
    <col min="4866" max="4866" width="13.85546875" style="328" customWidth="1"/>
    <col min="4867" max="4867" width="15.28515625" style="328" customWidth="1"/>
    <col min="4868" max="4868" width="9.7109375" style="328" customWidth="1"/>
    <col min="4869" max="4869" width="9.5703125" style="328" customWidth="1"/>
    <col min="4870" max="4870" width="8.28515625" style="328" customWidth="1"/>
    <col min="4871" max="4871" width="10.85546875" style="328" customWidth="1"/>
    <col min="4872" max="4872" width="9.28515625" style="328" customWidth="1"/>
    <col min="4873" max="4873" width="7.140625" style="328" customWidth="1"/>
    <col min="4874" max="4874" width="15.28515625" style="328" customWidth="1"/>
    <col min="4875" max="4875" width="14.28515625" style="328" customWidth="1"/>
    <col min="4876" max="5120" width="11.42578125" style="328"/>
    <col min="5121" max="5121" width="58.28515625" style="328" customWidth="1"/>
    <col min="5122" max="5122" width="13.85546875" style="328" customWidth="1"/>
    <col min="5123" max="5123" width="15.28515625" style="328" customWidth="1"/>
    <col min="5124" max="5124" width="9.7109375" style="328" customWidth="1"/>
    <col min="5125" max="5125" width="9.5703125" style="328" customWidth="1"/>
    <col min="5126" max="5126" width="8.28515625" style="328" customWidth="1"/>
    <col min="5127" max="5127" width="10.85546875" style="328" customWidth="1"/>
    <col min="5128" max="5128" width="9.28515625" style="328" customWidth="1"/>
    <col min="5129" max="5129" width="7.140625" style="328" customWidth="1"/>
    <col min="5130" max="5130" width="15.28515625" style="328" customWidth="1"/>
    <col min="5131" max="5131" width="14.28515625" style="328" customWidth="1"/>
    <col min="5132" max="5376" width="11.42578125" style="328"/>
    <col min="5377" max="5377" width="58.28515625" style="328" customWidth="1"/>
    <col min="5378" max="5378" width="13.85546875" style="328" customWidth="1"/>
    <col min="5379" max="5379" width="15.28515625" style="328" customWidth="1"/>
    <col min="5380" max="5380" width="9.7109375" style="328" customWidth="1"/>
    <col min="5381" max="5381" width="9.5703125" style="328" customWidth="1"/>
    <col min="5382" max="5382" width="8.28515625" style="328" customWidth="1"/>
    <col min="5383" max="5383" width="10.85546875" style="328" customWidth="1"/>
    <col min="5384" max="5384" width="9.28515625" style="328" customWidth="1"/>
    <col min="5385" max="5385" width="7.140625" style="328" customWidth="1"/>
    <col min="5386" max="5386" width="15.28515625" style="328" customWidth="1"/>
    <col min="5387" max="5387" width="14.28515625" style="328" customWidth="1"/>
    <col min="5388" max="5632" width="11.42578125" style="328"/>
    <col min="5633" max="5633" width="58.28515625" style="328" customWidth="1"/>
    <col min="5634" max="5634" width="13.85546875" style="328" customWidth="1"/>
    <col min="5635" max="5635" width="15.28515625" style="328" customWidth="1"/>
    <col min="5636" max="5636" width="9.7109375" style="328" customWidth="1"/>
    <col min="5637" max="5637" width="9.5703125" style="328" customWidth="1"/>
    <col min="5638" max="5638" width="8.28515625" style="328" customWidth="1"/>
    <col min="5639" max="5639" width="10.85546875" style="328" customWidth="1"/>
    <col min="5640" max="5640" width="9.28515625" style="328" customWidth="1"/>
    <col min="5641" max="5641" width="7.140625" style="328" customWidth="1"/>
    <col min="5642" max="5642" width="15.28515625" style="328" customWidth="1"/>
    <col min="5643" max="5643" width="14.28515625" style="328" customWidth="1"/>
    <col min="5644" max="5888" width="11.42578125" style="328"/>
    <col min="5889" max="5889" width="58.28515625" style="328" customWidth="1"/>
    <col min="5890" max="5890" width="13.85546875" style="328" customWidth="1"/>
    <col min="5891" max="5891" width="15.28515625" style="328" customWidth="1"/>
    <col min="5892" max="5892" width="9.7109375" style="328" customWidth="1"/>
    <col min="5893" max="5893" width="9.5703125" style="328" customWidth="1"/>
    <col min="5894" max="5894" width="8.28515625" style="328" customWidth="1"/>
    <col min="5895" max="5895" width="10.85546875" style="328" customWidth="1"/>
    <col min="5896" max="5896" width="9.28515625" style="328" customWidth="1"/>
    <col min="5897" max="5897" width="7.140625" style="328" customWidth="1"/>
    <col min="5898" max="5898" width="15.28515625" style="328" customWidth="1"/>
    <col min="5899" max="5899" width="14.28515625" style="328" customWidth="1"/>
    <col min="5900" max="6144" width="11.42578125" style="328"/>
    <col min="6145" max="6145" width="58.28515625" style="328" customWidth="1"/>
    <col min="6146" max="6146" width="13.85546875" style="328" customWidth="1"/>
    <col min="6147" max="6147" width="15.28515625" style="328" customWidth="1"/>
    <col min="6148" max="6148" width="9.7109375" style="328" customWidth="1"/>
    <col min="6149" max="6149" width="9.5703125" style="328" customWidth="1"/>
    <col min="6150" max="6150" width="8.28515625" style="328" customWidth="1"/>
    <col min="6151" max="6151" width="10.85546875" style="328" customWidth="1"/>
    <col min="6152" max="6152" width="9.28515625" style="328" customWidth="1"/>
    <col min="6153" max="6153" width="7.140625" style="328" customWidth="1"/>
    <col min="6154" max="6154" width="15.28515625" style="328" customWidth="1"/>
    <col min="6155" max="6155" width="14.28515625" style="328" customWidth="1"/>
    <col min="6156" max="6400" width="11.42578125" style="328"/>
    <col min="6401" max="6401" width="58.28515625" style="328" customWidth="1"/>
    <col min="6402" max="6402" width="13.85546875" style="328" customWidth="1"/>
    <col min="6403" max="6403" width="15.28515625" style="328" customWidth="1"/>
    <col min="6404" max="6404" width="9.7109375" style="328" customWidth="1"/>
    <col min="6405" max="6405" width="9.5703125" style="328" customWidth="1"/>
    <col min="6406" max="6406" width="8.28515625" style="328" customWidth="1"/>
    <col min="6407" max="6407" width="10.85546875" style="328" customWidth="1"/>
    <col min="6408" max="6408" width="9.28515625" style="328" customWidth="1"/>
    <col min="6409" max="6409" width="7.140625" style="328" customWidth="1"/>
    <col min="6410" max="6410" width="15.28515625" style="328" customWidth="1"/>
    <col min="6411" max="6411" width="14.28515625" style="328" customWidth="1"/>
    <col min="6412" max="6656" width="11.42578125" style="328"/>
    <col min="6657" max="6657" width="58.28515625" style="328" customWidth="1"/>
    <col min="6658" max="6658" width="13.85546875" style="328" customWidth="1"/>
    <col min="6659" max="6659" width="15.28515625" style="328" customWidth="1"/>
    <col min="6660" max="6660" width="9.7109375" style="328" customWidth="1"/>
    <col min="6661" max="6661" width="9.5703125" style="328" customWidth="1"/>
    <col min="6662" max="6662" width="8.28515625" style="328" customWidth="1"/>
    <col min="6663" max="6663" width="10.85546875" style="328" customWidth="1"/>
    <col min="6664" max="6664" width="9.28515625" style="328" customWidth="1"/>
    <col min="6665" max="6665" width="7.140625" style="328" customWidth="1"/>
    <col min="6666" max="6666" width="15.28515625" style="328" customWidth="1"/>
    <col min="6667" max="6667" width="14.28515625" style="328" customWidth="1"/>
    <col min="6668" max="6912" width="11.42578125" style="328"/>
    <col min="6913" max="6913" width="58.28515625" style="328" customWidth="1"/>
    <col min="6914" max="6914" width="13.85546875" style="328" customWidth="1"/>
    <col min="6915" max="6915" width="15.28515625" style="328" customWidth="1"/>
    <col min="6916" max="6916" width="9.7109375" style="328" customWidth="1"/>
    <col min="6917" max="6917" width="9.5703125" style="328" customWidth="1"/>
    <col min="6918" max="6918" width="8.28515625" style="328" customWidth="1"/>
    <col min="6919" max="6919" width="10.85546875" style="328" customWidth="1"/>
    <col min="6920" max="6920" width="9.28515625" style="328" customWidth="1"/>
    <col min="6921" max="6921" width="7.140625" style="328" customWidth="1"/>
    <col min="6922" max="6922" width="15.28515625" style="328" customWidth="1"/>
    <col min="6923" max="6923" width="14.28515625" style="328" customWidth="1"/>
    <col min="6924" max="7168" width="11.42578125" style="328"/>
    <col min="7169" max="7169" width="58.28515625" style="328" customWidth="1"/>
    <col min="7170" max="7170" width="13.85546875" style="328" customWidth="1"/>
    <col min="7171" max="7171" width="15.28515625" style="328" customWidth="1"/>
    <col min="7172" max="7172" width="9.7109375" style="328" customWidth="1"/>
    <col min="7173" max="7173" width="9.5703125" style="328" customWidth="1"/>
    <col min="7174" max="7174" width="8.28515625" style="328" customWidth="1"/>
    <col min="7175" max="7175" width="10.85546875" style="328" customWidth="1"/>
    <col min="7176" max="7176" width="9.28515625" style="328" customWidth="1"/>
    <col min="7177" max="7177" width="7.140625" style="328" customWidth="1"/>
    <col min="7178" max="7178" width="15.28515625" style="328" customWidth="1"/>
    <col min="7179" max="7179" width="14.28515625" style="328" customWidth="1"/>
    <col min="7180" max="7424" width="11.42578125" style="328"/>
    <col min="7425" max="7425" width="58.28515625" style="328" customWidth="1"/>
    <col min="7426" max="7426" width="13.85546875" style="328" customWidth="1"/>
    <col min="7427" max="7427" width="15.28515625" style="328" customWidth="1"/>
    <col min="7428" max="7428" width="9.7109375" style="328" customWidth="1"/>
    <col min="7429" max="7429" width="9.5703125" style="328" customWidth="1"/>
    <col min="7430" max="7430" width="8.28515625" style="328" customWidth="1"/>
    <col min="7431" max="7431" width="10.85546875" style="328" customWidth="1"/>
    <col min="7432" max="7432" width="9.28515625" style="328" customWidth="1"/>
    <col min="7433" max="7433" width="7.140625" style="328" customWidth="1"/>
    <col min="7434" max="7434" width="15.28515625" style="328" customWidth="1"/>
    <col min="7435" max="7435" width="14.28515625" style="328" customWidth="1"/>
    <col min="7436" max="7680" width="11.42578125" style="328"/>
    <col min="7681" max="7681" width="58.28515625" style="328" customWidth="1"/>
    <col min="7682" max="7682" width="13.85546875" style="328" customWidth="1"/>
    <col min="7683" max="7683" width="15.28515625" style="328" customWidth="1"/>
    <col min="7684" max="7684" width="9.7109375" style="328" customWidth="1"/>
    <col min="7685" max="7685" width="9.5703125" style="328" customWidth="1"/>
    <col min="7686" max="7686" width="8.28515625" style="328" customWidth="1"/>
    <col min="7687" max="7687" width="10.85546875" style="328" customWidth="1"/>
    <col min="7688" max="7688" width="9.28515625" style="328" customWidth="1"/>
    <col min="7689" max="7689" width="7.140625" style="328" customWidth="1"/>
    <col min="7690" max="7690" width="15.28515625" style="328" customWidth="1"/>
    <col min="7691" max="7691" width="14.28515625" style="328" customWidth="1"/>
    <col min="7692" max="7936" width="11.42578125" style="328"/>
    <col min="7937" max="7937" width="58.28515625" style="328" customWidth="1"/>
    <col min="7938" max="7938" width="13.85546875" style="328" customWidth="1"/>
    <col min="7939" max="7939" width="15.28515625" style="328" customWidth="1"/>
    <col min="7940" max="7940" width="9.7109375" style="328" customWidth="1"/>
    <col min="7941" max="7941" width="9.5703125" style="328" customWidth="1"/>
    <col min="7942" max="7942" width="8.28515625" style="328" customWidth="1"/>
    <col min="7943" max="7943" width="10.85546875" style="328" customWidth="1"/>
    <col min="7944" max="7944" width="9.28515625" style="328" customWidth="1"/>
    <col min="7945" max="7945" width="7.140625" style="328" customWidth="1"/>
    <col min="7946" max="7946" width="15.28515625" style="328" customWidth="1"/>
    <col min="7947" max="7947" width="14.28515625" style="328" customWidth="1"/>
    <col min="7948" max="8192" width="11.42578125" style="328"/>
    <col min="8193" max="8193" width="58.28515625" style="328" customWidth="1"/>
    <col min="8194" max="8194" width="13.85546875" style="328" customWidth="1"/>
    <col min="8195" max="8195" width="15.28515625" style="328" customWidth="1"/>
    <col min="8196" max="8196" width="9.7109375" style="328" customWidth="1"/>
    <col min="8197" max="8197" width="9.5703125" style="328" customWidth="1"/>
    <col min="8198" max="8198" width="8.28515625" style="328" customWidth="1"/>
    <col min="8199" max="8199" width="10.85546875" style="328" customWidth="1"/>
    <col min="8200" max="8200" width="9.28515625" style="328" customWidth="1"/>
    <col min="8201" max="8201" width="7.140625" style="328" customWidth="1"/>
    <col min="8202" max="8202" width="15.28515625" style="328" customWidth="1"/>
    <col min="8203" max="8203" width="14.28515625" style="328" customWidth="1"/>
    <col min="8204" max="8448" width="11.42578125" style="328"/>
    <col min="8449" max="8449" width="58.28515625" style="328" customWidth="1"/>
    <col min="8450" max="8450" width="13.85546875" style="328" customWidth="1"/>
    <col min="8451" max="8451" width="15.28515625" style="328" customWidth="1"/>
    <col min="8452" max="8452" width="9.7109375" style="328" customWidth="1"/>
    <col min="8453" max="8453" width="9.5703125" style="328" customWidth="1"/>
    <col min="8454" max="8454" width="8.28515625" style="328" customWidth="1"/>
    <col min="8455" max="8455" width="10.85546875" style="328" customWidth="1"/>
    <col min="8456" max="8456" width="9.28515625" style="328" customWidth="1"/>
    <col min="8457" max="8457" width="7.140625" style="328" customWidth="1"/>
    <col min="8458" max="8458" width="15.28515625" style="328" customWidth="1"/>
    <col min="8459" max="8459" width="14.28515625" style="328" customWidth="1"/>
    <col min="8460" max="8704" width="11.42578125" style="328"/>
    <col min="8705" max="8705" width="58.28515625" style="328" customWidth="1"/>
    <col min="8706" max="8706" width="13.85546875" style="328" customWidth="1"/>
    <col min="8707" max="8707" width="15.28515625" style="328" customWidth="1"/>
    <col min="8708" max="8708" width="9.7109375" style="328" customWidth="1"/>
    <col min="8709" max="8709" width="9.5703125" style="328" customWidth="1"/>
    <col min="8710" max="8710" width="8.28515625" style="328" customWidth="1"/>
    <col min="8711" max="8711" width="10.85546875" style="328" customWidth="1"/>
    <col min="8712" max="8712" width="9.28515625" style="328" customWidth="1"/>
    <col min="8713" max="8713" width="7.140625" style="328" customWidth="1"/>
    <col min="8714" max="8714" width="15.28515625" style="328" customWidth="1"/>
    <col min="8715" max="8715" width="14.28515625" style="328" customWidth="1"/>
    <col min="8716" max="8960" width="11.42578125" style="328"/>
    <col min="8961" max="8961" width="58.28515625" style="328" customWidth="1"/>
    <col min="8962" max="8962" width="13.85546875" style="328" customWidth="1"/>
    <col min="8963" max="8963" width="15.28515625" style="328" customWidth="1"/>
    <col min="8964" max="8964" width="9.7109375" style="328" customWidth="1"/>
    <col min="8965" max="8965" width="9.5703125" style="328" customWidth="1"/>
    <col min="8966" max="8966" width="8.28515625" style="328" customWidth="1"/>
    <col min="8967" max="8967" width="10.85546875" style="328" customWidth="1"/>
    <col min="8968" max="8968" width="9.28515625" style="328" customWidth="1"/>
    <col min="8969" max="8969" width="7.140625" style="328" customWidth="1"/>
    <col min="8970" max="8970" width="15.28515625" style="328" customWidth="1"/>
    <col min="8971" max="8971" width="14.28515625" style="328" customWidth="1"/>
    <col min="8972" max="9216" width="11.42578125" style="328"/>
    <col min="9217" max="9217" width="58.28515625" style="328" customWidth="1"/>
    <col min="9218" max="9218" width="13.85546875" style="328" customWidth="1"/>
    <col min="9219" max="9219" width="15.28515625" style="328" customWidth="1"/>
    <col min="9220" max="9220" width="9.7109375" style="328" customWidth="1"/>
    <col min="9221" max="9221" width="9.5703125" style="328" customWidth="1"/>
    <col min="9222" max="9222" width="8.28515625" style="328" customWidth="1"/>
    <col min="9223" max="9223" width="10.85546875" style="328" customWidth="1"/>
    <col min="9224" max="9224" width="9.28515625" style="328" customWidth="1"/>
    <col min="9225" max="9225" width="7.140625" style="328" customWidth="1"/>
    <col min="9226" max="9226" width="15.28515625" style="328" customWidth="1"/>
    <col min="9227" max="9227" width="14.28515625" style="328" customWidth="1"/>
    <col min="9228" max="9472" width="11.42578125" style="328"/>
    <col min="9473" max="9473" width="58.28515625" style="328" customWidth="1"/>
    <col min="9474" max="9474" width="13.85546875" style="328" customWidth="1"/>
    <col min="9475" max="9475" width="15.28515625" style="328" customWidth="1"/>
    <col min="9476" max="9476" width="9.7109375" style="328" customWidth="1"/>
    <col min="9477" max="9477" width="9.5703125" style="328" customWidth="1"/>
    <col min="9478" max="9478" width="8.28515625" style="328" customWidth="1"/>
    <col min="9479" max="9479" width="10.85546875" style="328" customWidth="1"/>
    <col min="9480" max="9480" width="9.28515625" style="328" customWidth="1"/>
    <col min="9481" max="9481" width="7.140625" style="328" customWidth="1"/>
    <col min="9482" max="9482" width="15.28515625" style="328" customWidth="1"/>
    <col min="9483" max="9483" width="14.28515625" style="328" customWidth="1"/>
    <col min="9484" max="9728" width="11.42578125" style="328"/>
    <col min="9729" max="9729" width="58.28515625" style="328" customWidth="1"/>
    <col min="9730" max="9730" width="13.85546875" style="328" customWidth="1"/>
    <col min="9731" max="9731" width="15.28515625" style="328" customWidth="1"/>
    <col min="9732" max="9732" width="9.7109375" style="328" customWidth="1"/>
    <col min="9733" max="9733" width="9.5703125" style="328" customWidth="1"/>
    <col min="9734" max="9734" width="8.28515625" style="328" customWidth="1"/>
    <col min="9735" max="9735" width="10.85546875" style="328" customWidth="1"/>
    <col min="9736" max="9736" width="9.28515625" style="328" customWidth="1"/>
    <col min="9737" max="9737" width="7.140625" style="328" customWidth="1"/>
    <col min="9738" max="9738" width="15.28515625" style="328" customWidth="1"/>
    <col min="9739" max="9739" width="14.28515625" style="328" customWidth="1"/>
    <col min="9740" max="9984" width="11.42578125" style="328"/>
    <col min="9985" max="9985" width="58.28515625" style="328" customWidth="1"/>
    <col min="9986" max="9986" width="13.85546875" style="328" customWidth="1"/>
    <col min="9987" max="9987" width="15.28515625" style="328" customWidth="1"/>
    <col min="9988" max="9988" width="9.7109375" style="328" customWidth="1"/>
    <col min="9989" max="9989" width="9.5703125" style="328" customWidth="1"/>
    <col min="9990" max="9990" width="8.28515625" style="328" customWidth="1"/>
    <col min="9991" max="9991" width="10.85546875" style="328" customWidth="1"/>
    <col min="9992" max="9992" width="9.28515625" style="328" customWidth="1"/>
    <col min="9993" max="9993" width="7.140625" style="328" customWidth="1"/>
    <col min="9994" max="9994" width="15.28515625" style="328" customWidth="1"/>
    <col min="9995" max="9995" width="14.28515625" style="328" customWidth="1"/>
    <col min="9996" max="10240" width="11.42578125" style="328"/>
    <col min="10241" max="10241" width="58.28515625" style="328" customWidth="1"/>
    <col min="10242" max="10242" width="13.85546875" style="328" customWidth="1"/>
    <col min="10243" max="10243" width="15.28515625" style="328" customWidth="1"/>
    <col min="10244" max="10244" width="9.7109375" style="328" customWidth="1"/>
    <col min="10245" max="10245" width="9.5703125" style="328" customWidth="1"/>
    <col min="10246" max="10246" width="8.28515625" style="328" customWidth="1"/>
    <col min="10247" max="10247" width="10.85546875" style="328" customWidth="1"/>
    <col min="10248" max="10248" width="9.28515625" style="328" customWidth="1"/>
    <col min="10249" max="10249" width="7.140625" style="328" customWidth="1"/>
    <col min="10250" max="10250" width="15.28515625" style="328" customWidth="1"/>
    <col min="10251" max="10251" width="14.28515625" style="328" customWidth="1"/>
    <col min="10252" max="10496" width="11.42578125" style="328"/>
    <col min="10497" max="10497" width="58.28515625" style="328" customWidth="1"/>
    <col min="10498" max="10498" width="13.85546875" style="328" customWidth="1"/>
    <col min="10499" max="10499" width="15.28515625" style="328" customWidth="1"/>
    <col min="10500" max="10500" width="9.7109375" style="328" customWidth="1"/>
    <col min="10501" max="10501" width="9.5703125" style="328" customWidth="1"/>
    <col min="10502" max="10502" width="8.28515625" style="328" customWidth="1"/>
    <col min="10503" max="10503" width="10.85546875" style="328" customWidth="1"/>
    <col min="10504" max="10504" width="9.28515625" style="328" customWidth="1"/>
    <col min="10505" max="10505" width="7.140625" style="328" customWidth="1"/>
    <col min="10506" max="10506" width="15.28515625" style="328" customWidth="1"/>
    <col min="10507" max="10507" width="14.28515625" style="328" customWidth="1"/>
    <col min="10508" max="10752" width="11.42578125" style="328"/>
    <col min="10753" max="10753" width="58.28515625" style="328" customWidth="1"/>
    <col min="10754" max="10754" width="13.85546875" style="328" customWidth="1"/>
    <col min="10755" max="10755" width="15.28515625" style="328" customWidth="1"/>
    <col min="10756" max="10756" width="9.7109375" style="328" customWidth="1"/>
    <col min="10757" max="10757" width="9.5703125" style="328" customWidth="1"/>
    <col min="10758" max="10758" width="8.28515625" style="328" customWidth="1"/>
    <col min="10759" max="10759" width="10.85546875" style="328" customWidth="1"/>
    <col min="10760" max="10760" width="9.28515625" style="328" customWidth="1"/>
    <col min="10761" max="10761" width="7.140625" style="328" customWidth="1"/>
    <col min="10762" max="10762" width="15.28515625" style="328" customWidth="1"/>
    <col min="10763" max="10763" width="14.28515625" style="328" customWidth="1"/>
    <col min="10764" max="11008" width="11.42578125" style="328"/>
    <col min="11009" max="11009" width="58.28515625" style="328" customWidth="1"/>
    <col min="11010" max="11010" width="13.85546875" style="328" customWidth="1"/>
    <col min="11011" max="11011" width="15.28515625" style="328" customWidth="1"/>
    <col min="11012" max="11012" width="9.7109375" style="328" customWidth="1"/>
    <col min="11013" max="11013" width="9.5703125" style="328" customWidth="1"/>
    <col min="11014" max="11014" width="8.28515625" style="328" customWidth="1"/>
    <col min="11015" max="11015" width="10.85546875" style="328" customWidth="1"/>
    <col min="11016" max="11016" width="9.28515625" style="328" customWidth="1"/>
    <col min="11017" max="11017" width="7.140625" style="328" customWidth="1"/>
    <col min="11018" max="11018" width="15.28515625" style="328" customWidth="1"/>
    <col min="11019" max="11019" width="14.28515625" style="328" customWidth="1"/>
    <col min="11020" max="11264" width="11.42578125" style="328"/>
    <col min="11265" max="11265" width="58.28515625" style="328" customWidth="1"/>
    <col min="11266" max="11266" width="13.85546875" style="328" customWidth="1"/>
    <col min="11267" max="11267" width="15.28515625" style="328" customWidth="1"/>
    <col min="11268" max="11268" width="9.7109375" style="328" customWidth="1"/>
    <col min="11269" max="11269" width="9.5703125" style="328" customWidth="1"/>
    <col min="11270" max="11270" width="8.28515625" style="328" customWidth="1"/>
    <col min="11271" max="11271" width="10.85546875" style="328" customWidth="1"/>
    <col min="11272" max="11272" width="9.28515625" style="328" customWidth="1"/>
    <col min="11273" max="11273" width="7.140625" style="328" customWidth="1"/>
    <col min="11274" max="11274" width="15.28515625" style="328" customWidth="1"/>
    <col min="11275" max="11275" width="14.28515625" style="328" customWidth="1"/>
    <col min="11276" max="11520" width="11.42578125" style="328"/>
    <col min="11521" max="11521" width="58.28515625" style="328" customWidth="1"/>
    <col min="11522" max="11522" width="13.85546875" style="328" customWidth="1"/>
    <col min="11523" max="11523" width="15.28515625" style="328" customWidth="1"/>
    <col min="11524" max="11524" width="9.7109375" style="328" customWidth="1"/>
    <col min="11525" max="11525" width="9.5703125" style="328" customWidth="1"/>
    <col min="11526" max="11526" width="8.28515625" style="328" customWidth="1"/>
    <col min="11527" max="11527" width="10.85546875" style="328" customWidth="1"/>
    <col min="11528" max="11528" width="9.28515625" style="328" customWidth="1"/>
    <col min="11529" max="11529" width="7.140625" style="328" customWidth="1"/>
    <col min="11530" max="11530" width="15.28515625" style="328" customWidth="1"/>
    <col min="11531" max="11531" width="14.28515625" style="328" customWidth="1"/>
    <col min="11532" max="11776" width="11.42578125" style="328"/>
    <col min="11777" max="11777" width="58.28515625" style="328" customWidth="1"/>
    <col min="11778" max="11778" width="13.85546875" style="328" customWidth="1"/>
    <col min="11779" max="11779" width="15.28515625" style="328" customWidth="1"/>
    <col min="11780" max="11780" width="9.7109375" style="328" customWidth="1"/>
    <col min="11781" max="11781" width="9.5703125" style="328" customWidth="1"/>
    <col min="11782" max="11782" width="8.28515625" style="328" customWidth="1"/>
    <col min="11783" max="11783" width="10.85546875" style="328" customWidth="1"/>
    <col min="11784" max="11784" width="9.28515625" style="328" customWidth="1"/>
    <col min="11785" max="11785" width="7.140625" style="328" customWidth="1"/>
    <col min="11786" max="11786" width="15.28515625" style="328" customWidth="1"/>
    <col min="11787" max="11787" width="14.28515625" style="328" customWidth="1"/>
    <col min="11788" max="12032" width="11.42578125" style="328"/>
    <col min="12033" max="12033" width="58.28515625" style="328" customWidth="1"/>
    <col min="12034" max="12034" width="13.85546875" style="328" customWidth="1"/>
    <col min="12035" max="12035" width="15.28515625" style="328" customWidth="1"/>
    <col min="12036" max="12036" width="9.7109375" style="328" customWidth="1"/>
    <col min="12037" max="12037" width="9.5703125" style="328" customWidth="1"/>
    <col min="12038" max="12038" width="8.28515625" style="328" customWidth="1"/>
    <col min="12039" max="12039" width="10.85546875" style="328" customWidth="1"/>
    <col min="12040" max="12040" width="9.28515625" style="328" customWidth="1"/>
    <col min="12041" max="12041" width="7.140625" style="328" customWidth="1"/>
    <col min="12042" max="12042" width="15.28515625" style="328" customWidth="1"/>
    <col min="12043" max="12043" width="14.28515625" style="328" customWidth="1"/>
    <col min="12044" max="12288" width="11.42578125" style="328"/>
    <col min="12289" max="12289" width="58.28515625" style="328" customWidth="1"/>
    <col min="12290" max="12290" width="13.85546875" style="328" customWidth="1"/>
    <col min="12291" max="12291" width="15.28515625" style="328" customWidth="1"/>
    <col min="12292" max="12292" width="9.7109375" style="328" customWidth="1"/>
    <col min="12293" max="12293" width="9.5703125" style="328" customWidth="1"/>
    <col min="12294" max="12294" width="8.28515625" style="328" customWidth="1"/>
    <col min="12295" max="12295" width="10.85546875" style="328" customWidth="1"/>
    <col min="12296" max="12296" width="9.28515625" style="328" customWidth="1"/>
    <col min="12297" max="12297" width="7.140625" style="328" customWidth="1"/>
    <col min="12298" max="12298" width="15.28515625" style="328" customWidth="1"/>
    <col min="12299" max="12299" width="14.28515625" style="328" customWidth="1"/>
    <col min="12300" max="12544" width="11.42578125" style="328"/>
    <col min="12545" max="12545" width="58.28515625" style="328" customWidth="1"/>
    <col min="12546" max="12546" width="13.85546875" style="328" customWidth="1"/>
    <col min="12547" max="12547" width="15.28515625" style="328" customWidth="1"/>
    <col min="12548" max="12548" width="9.7109375" style="328" customWidth="1"/>
    <col min="12549" max="12549" width="9.5703125" style="328" customWidth="1"/>
    <col min="12550" max="12550" width="8.28515625" style="328" customWidth="1"/>
    <col min="12551" max="12551" width="10.85546875" style="328" customWidth="1"/>
    <col min="12552" max="12552" width="9.28515625" style="328" customWidth="1"/>
    <col min="12553" max="12553" width="7.140625" style="328" customWidth="1"/>
    <col min="12554" max="12554" width="15.28515625" style="328" customWidth="1"/>
    <col min="12555" max="12555" width="14.28515625" style="328" customWidth="1"/>
    <col min="12556" max="12800" width="11.42578125" style="328"/>
    <col min="12801" max="12801" width="58.28515625" style="328" customWidth="1"/>
    <col min="12802" max="12802" width="13.85546875" style="328" customWidth="1"/>
    <col min="12803" max="12803" width="15.28515625" style="328" customWidth="1"/>
    <col min="12804" max="12804" width="9.7109375" style="328" customWidth="1"/>
    <col min="12805" max="12805" width="9.5703125" style="328" customWidth="1"/>
    <col min="12806" max="12806" width="8.28515625" style="328" customWidth="1"/>
    <col min="12807" max="12807" width="10.85546875" style="328" customWidth="1"/>
    <col min="12808" max="12808" width="9.28515625" style="328" customWidth="1"/>
    <col min="12809" max="12809" width="7.140625" style="328" customWidth="1"/>
    <col min="12810" max="12810" width="15.28515625" style="328" customWidth="1"/>
    <col min="12811" max="12811" width="14.28515625" style="328" customWidth="1"/>
    <col min="12812" max="13056" width="11.42578125" style="328"/>
    <col min="13057" max="13057" width="58.28515625" style="328" customWidth="1"/>
    <col min="13058" max="13058" width="13.85546875" style="328" customWidth="1"/>
    <col min="13059" max="13059" width="15.28515625" style="328" customWidth="1"/>
    <col min="13060" max="13060" width="9.7109375" style="328" customWidth="1"/>
    <col min="13061" max="13061" width="9.5703125" style="328" customWidth="1"/>
    <col min="13062" max="13062" width="8.28515625" style="328" customWidth="1"/>
    <col min="13063" max="13063" width="10.85546875" style="328" customWidth="1"/>
    <col min="13064" max="13064" width="9.28515625" style="328" customWidth="1"/>
    <col min="13065" max="13065" width="7.140625" style="328" customWidth="1"/>
    <col min="13066" max="13066" width="15.28515625" style="328" customWidth="1"/>
    <col min="13067" max="13067" width="14.28515625" style="328" customWidth="1"/>
    <col min="13068" max="13312" width="11.42578125" style="328"/>
    <col min="13313" max="13313" width="58.28515625" style="328" customWidth="1"/>
    <col min="13314" max="13314" width="13.85546875" style="328" customWidth="1"/>
    <col min="13315" max="13315" width="15.28515625" style="328" customWidth="1"/>
    <col min="13316" max="13316" width="9.7109375" style="328" customWidth="1"/>
    <col min="13317" max="13317" width="9.5703125" style="328" customWidth="1"/>
    <col min="13318" max="13318" width="8.28515625" style="328" customWidth="1"/>
    <col min="13319" max="13319" width="10.85546875" style="328" customWidth="1"/>
    <col min="13320" max="13320" width="9.28515625" style="328" customWidth="1"/>
    <col min="13321" max="13321" width="7.140625" style="328" customWidth="1"/>
    <col min="13322" max="13322" width="15.28515625" style="328" customWidth="1"/>
    <col min="13323" max="13323" width="14.28515625" style="328" customWidth="1"/>
    <col min="13324" max="13568" width="11.42578125" style="328"/>
    <col min="13569" max="13569" width="58.28515625" style="328" customWidth="1"/>
    <col min="13570" max="13570" width="13.85546875" style="328" customWidth="1"/>
    <col min="13571" max="13571" width="15.28515625" style="328" customWidth="1"/>
    <col min="13572" max="13572" width="9.7109375" style="328" customWidth="1"/>
    <col min="13573" max="13573" width="9.5703125" style="328" customWidth="1"/>
    <col min="13574" max="13574" width="8.28515625" style="328" customWidth="1"/>
    <col min="13575" max="13575" width="10.85546875" style="328" customWidth="1"/>
    <col min="13576" max="13576" width="9.28515625" style="328" customWidth="1"/>
    <col min="13577" max="13577" width="7.140625" style="328" customWidth="1"/>
    <col min="13578" max="13578" width="15.28515625" style="328" customWidth="1"/>
    <col min="13579" max="13579" width="14.28515625" style="328" customWidth="1"/>
    <col min="13580" max="13824" width="11.42578125" style="328"/>
    <col min="13825" max="13825" width="58.28515625" style="328" customWidth="1"/>
    <col min="13826" max="13826" width="13.85546875" style="328" customWidth="1"/>
    <col min="13827" max="13827" width="15.28515625" style="328" customWidth="1"/>
    <col min="13828" max="13828" width="9.7109375" style="328" customWidth="1"/>
    <col min="13829" max="13829" width="9.5703125" style="328" customWidth="1"/>
    <col min="13830" max="13830" width="8.28515625" style="328" customWidth="1"/>
    <col min="13831" max="13831" width="10.85546875" style="328" customWidth="1"/>
    <col min="13832" max="13832" width="9.28515625" style="328" customWidth="1"/>
    <col min="13833" max="13833" width="7.140625" style="328" customWidth="1"/>
    <col min="13834" max="13834" width="15.28515625" style="328" customWidth="1"/>
    <col min="13835" max="13835" width="14.28515625" style="328" customWidth="1"/>
    <col min="13836" max="14080" width="11.42578125" style="328"/>
    <col min="14081" max="14081" width="58.28515625" style="328" customWidth="1"/>
    <col min="14082" max="14082" width="13.85546875" style="328" customWidth="1"/>
    <col min="14083" max="14083" width="15.28515625" style="328" customWidth="1"/>
    <col min="14084" max="14084" width="9.7109375" style="328" customWidth="1"/>
    <col min="14085" max="14085" width="9.5703125" style="328" customWidth="1"/>
    <col min="14086" max="14086" width="8.28515625" style="328" customWidth="1"/>
    <col min="14087" max="14087" width="10.85546875" style="328" customWidth="1"/>
    <col min="14088" max="14088" width="9.28515625" style="328" customWidth="1"/>
    <col min="14089" max="14089" width="7.140625" style="328" customWidth="1"/>
    <col min="14090" max="14090" width="15.28515625" style="328" customWidth="1"/>
    <col min="14091" max="14091" width="14.28515625" style="328" customWidth="1"/>
    <col min="14092" max="14336" width="11.42578125" style="328"/>
    <col min="14337" max="14337" width="58.28515625" style="328" customWidth="1"/>
    <col min="14338" max="14338" width="13.85546875" style="328" customWidth="1"/>
    <col min="14339" max="14339" width="15.28515625" style="328" customWidth="1"/>
    <col min="14340" max="14340" width="9.7109375" style="328" customWidth="1"/>
    <col min="14341" max="14341" width="9.5703125" style="328" customWidth="1"/>
    <col min="14342" max="14342" width="8.28515625" style="328" customWidth="1"/>
    <col min="14343" max="14343" width="10.85546875" style="328" customWidth="1"/>
    <col min="14344" max="14344" width="9.28515625" style="328" customWidth="1"/>
    <col min="14345" max="14345" width="7.140625" style="328" customWidth="1"/>
    <col min="14346" max="14346" width="15.28515625" style="328" customWidth="1"/>
    <col min="14347" max="14347" width="14.28515625" style="328" customWidth="1"/>
    <col min="14348" max="14592" width="11.42578125" style="328"/>
    <col min="14593" max="14593" width="58.28515625" style="328" customWidth="1"/>
    <col min="14594" max="14594" width="13.85546875" style="328" customWidth="1"/>
    <col min="14595" max="14595" width="15.28515625" style="328" customWidth="1"/>
    <col min="14596" max="14596" width="9.7109375" style="328" customWidth="1"/>
    <col min="14597" max="14597" width="9.5703125" style="328" customWidth="1"/>
    <col min="14598" max="14598" width="8.28515625" style="328" customWidth="1"/>
    <col min="14599" max="14599" width="10.85546875" style="328" customWidth="1"/>
    <col min="14600" max="14600" width="9.28515625" style="328" customWidth="1"/>
    <col min="14601" max="14601" width="7.140625" style="328" customWidth="1"/>
    <col min="14602" max="14602" width="15.28515625" style="328" customWidth="1"/>
    <col min="14603" max="14603" width="14.28515625" style="328" customWidth="1"/>
    <col min="14604" max="14848" width="11.42578125" style="328"/>
    <col min="14849" max="14849" width="58.28515625" style="328" customWidth="1"/>
    <col min="14850" max="14850" width="13.85546875" style="328" customWidth="1"/>
    <col min="14851" max="14851" width="15.28515625" style="328" customWidth="1"/>
    <col min="14852" max="14852" width="9.7109375" style="328" customWidth="1"/>
    <col min="14853" max="14853" width="9.5703125" style="328" customWidth="1"/>
    <col min="14854" max="14854" width="8.28515625" style="328" customWidth="1"/>
    <col min="14855" max="14855" width="10.85546875" style="328" customWidth="1"/>
    <col min="14856" max="14856" width="9.28515625" style="328" customWidth="1"/>
    <col min="14857" max="14857" width="7.140625" style="328" customWidth="1"/>
    <col min="14858" max="14858" width="15.28515625" style="328" customWidth="1"/>
    <col min="14859" max="14859" width="14.28515625" style="328" customWidth="1"/>
    <col min="14860" max="15104" width="11.42578125" style="328"/>
    <col min="15105" max="15105" width="58.28515625" style="328" customWidth="1"/>
    <col min="15106" max="15106" width="13.85546875" style="328" customWidth="1"/>
    <col min="15107" max="15107" width="15.28515625" style="328" customWidth="1"/>
    <col min="15108" max="15108" width="9.7109375" style="328" customWidth="1"/>
    <col min="15109" max="15109" width="9.5703125" style="328" customWidth="1"/>
    <col min="15110" max="15110" width="8.28515625" style="328" customWidth="1"/>
    <col min="15111" max="15111" width="10.85546875" style="328" customWidth="1"/>
    <col min="15112" max="15112" width="9.28515625" style="328" customWidth="1"/>
    <col min="15113" max="15113" width="7.140625" style="328" customWidth="1"/>
    <col min="15114" max="15114" width="15.28515625" style="328" customWidth="1"/>
    <col min="15115" max="15115" width="14.28515625" style="328" customWidth="1"/>
    <col min="15116" max="15360" width="11.42578125" style="328"/>
    <col min="15361" max="15361" width="58.28515625" style="328" customWidth="1"/>
    <col min="15362" max="15362" width="13.85546875" style="328" customWidth="1"/>
    <col min="15363" max="15363" width="15.28515625" style="328" customWidth="1"/>
    <col min="15364" max="15364" width="9.7109375" style="328" customWidth="1"/>
    <col min="15365" max="15365" width="9.5703125" style="328" customWidth="1"/>
    <col min="15366" max="15366" width="8.28515625" style="328" customWidth="1"/>
    <col min="15367" max="15367" width="10.85546875" style="328" customWidth="1"/>
    <col min="15368" max="15368" width="9.28515625" style="328" customWidth="1"/>
    <col min="15369" max="15369" width="7.140625" style="328" customWidth="1"/>
    <col min="15370" max="15370" width="15.28515625" style="328" customWidth="1"/>
    <col min="15371" max="15371" width="14.28515625" style="328" customWidth="1"/>
    <col min="15372" max="15616" width="11.42578125" style="328"/>
    <col min="15617" max="15617" width="58.28515625" style="328" customWidth="1"/>
    <col min="15618" max="15618" width="13.85546875" style="328" customWidth="1"/>
    <col min="15619" max="15619" width="15.28515625" style="328" customWidth="1"/>
    <col min="15620" max="15620" width="9.7109375" style="328" customWidth="1"/>
    <col min="15621" max="15621" width="9.5703125" style="328" customWidth="1"/>
    <col min="15622" max="15622" width="8.28515625" style="328" customWidth="1"/>
    <col min="15623" max="15623" width="10.85546875" style="328" customWidth="1"/>
    <col min="15624" max="15624" width="9.28515625" style="328" customWidth="1"/>
    <col min="15625" max="15625" width="7.140625" style="328" customWidth="1"/>
    <col min="15626" max="15626" width="15.28515625" style="328" customWidth="1"/>
    <col min="15627" max="15627" width="14.28515625" style="328" customWidth="1"/>
    <col min="15628" max="15872" width="11.42578125" style="328"/>
    <col min="15873" max="15873" width="58.28515625" style="328" customWidth="1"/>
    <col min="15874" max="15874" width="13.85546875" style="328" customWidth="1"/>
    <col min="15875" max="15875" width="15.28515625" style="328" customWidth="1"/>
    <col min="15876" max="15876" width="9.7109375" style="328" customWidth="1"/>
    <col min="15877" max="15877" width="9.5703125" style="328" customWidth="1"/>
    <col min="15878" max="15878" width="8.28515625" style="328" customWidth="1"/>
    <col min="15879" max="15879" width="10.85546875" style="328" customWidth="1"/>
    <col min="15880" max="15880" width="9.28515625" style="328" customWidth="1"/>
    <col min="15881" max="15881" width="7.140625" style="328" customWidth="1"/>
    <col min="15882" max="15882" width="15.28515625" style="328" customWidth="1"/>
    <col min="15883" max="15883" width="14.28515625" style="328" customWidth="1"/>
    <col min="15884" max="16128" width="11.42578125" style="328"/>
    <col min="16129" max="16129" width="58.28515625" style="328" customWidth="1"/>
    <col min="16130" max="16130" width="13.85546875" style="328" customWidth="1"/>
    <col min="16131" max="16131" width="15.28515625" style="328" customWidth="1"/>
    <col min="16132" max="16132" width="9.7109375" style="328" customWidth="1"/>
    <col min="16133" max="16133" width="9.5703125" style="328" customWidth="1"/>
    <col min="16134" max="16134" width="8.28515625" style="328" customWidth="1"/>
    <col min="16135" max="16135" width="10.85546875" style="328" customWidth="1"/>
    <col min="16136" max="16136" width="9.28515625" style="328" customWidth="1"/>
    <col min="16137" max="16137" width="7.140625" style="328" customWidth="1"/>
    <col min="16138" max="16138" width="15.28515625" style="328" customWidth="1"/>
    <col min="16139" max="16139" width="14.28515625" style="328" customWidth="1"/>
    <col min="16140" max="16384" width="11.42578125" style="328"/>
  </cols>
  <sheetData>
    <row r="1" spans="1:15" s="310" customFormat="1"/>
    <row r="2" spans="1:15" s="310" customFormat="1">
      <c r="A2" s="311" t="s">
        <v>235</v>
      </c>
      <c r="B2" s="312"/>
      <c r="C2" s="312"/>
      <c r="D2" s="312"/>
      <c r="E2" s="312"/>
      <c r="F2" s="312"/>
      <c r="G2" s="312"/>
      <c r="H2" s="312"/>
      <c r="I2" s="312"/>
      <c r="J2" s="312"/>
      <c r="K2" s="313" t="s">
        <v>234</v>
      </c>
    </row>
    <row r="3" spans="1:15" s="310" customFormat="1">
      <c r="A3" s="314" t="s">
        <v>503</v>
      </c>
      <c r="B3" s="312"/>
      <c r="C3" s="312"/>
      <c r="D3" s="312"/>
      <c r="E3" s="312"/>
      <c r="F3" s="312"/>
      <c r="G3" s="312"/>
      <c r="H3" s="312"/>
      <c r="I3" s="312"/>
      <c r="J3" s="312"/>
      <c r="K3" s="312"/>
    </row>
    <row r="4" spans="1:15" s="310" customFormat="1" ht="15.75">
      <c r="A4" s="311" t="s">
        <v>232</v>
      </c>
      <c r="B4" s="315" t="s">
        <v>504</v>
      </c>
      <c r="C4" s="315"/>
      <c r="D4" s="312"/>
      <c r="E4" s="312"/>
      <c r="F4" s="312"/>
      <c r="G4" s="312"/>
      <c r="H4" s="312"/>
      <c r="I4" s="312"/>
      <c r="J4" s="312"/>
      <c r="K4" s="312"/>
    </row>
    <row r="5" spans="1:15" s="310" customFormat="1" ht="15.75">
      <c r="A5" s="311"/>
      <c r="B5" s="316">
        <v>44713</v>
      </c>
      <c r="C5" s="315"/>
      <c r="D5" s="312"/>
      <c r="E5" s="312"/>
      <c r="F5" s="312"/>
      <c r="G5" s="312"/>
      <c r="H5" s="312"/>
      <c r="I5" s="312"/>
      <c r="J5" s="312"/>
      <c r="K5" s="312"/>
    </row>
    <row r="6" spans="1:15" s="310" customFormat="1" ht="18.75" customHeight="1">
      <c r="A6" s="317" t="s">
        <v>231</v>
      </c>
      <c r="B6" s="312"/>
      <c r="C6" s="312"/>
      <c r="D6" s="312"/>
      <c r="E6" s="312"/>
      <c r="F6" s="312"/>
      <c r="G6" s="312"/>
      <c r="H6" s="312"/>
      <c r="I6" s="312"/>
      <c r="J6" s="312"/>
      <c r="K6" s="312"/>
    </row>
    <row r="7" spans="1:15" s="310" customFormat="1" ht="19.5" hidden="1" customHeight="1">
      <c r="A7" s="318"/>
      <c r="B7" s="312"/>
      <c r="C7" s="312"/>
      <c r="D7" s="312"/>
      <c r="E7" s="312"/>
      <c r="F7" s="312"/>
      <c r="G7" s="312"/>
      <c r="H7" s="312"/>
      <c r="I7" s="312"/>
      <c r="J7" s="312"/>
      <c r="K7" s="312"/>
    </row>
    <row r="8" spans="1:15" s="310" customFormat="1" ht="2.25" customHeight="1">
      <c r="A8" s="319"/>
      <c r="D8" s="320"/>
      <c r="E8" s="320"/>
      <c r="F8" s="320"/>
      <c r="G8" s="319"/>
      <c r="H8" s="320"/>
      <c r="I8" s="320"/>
      <c r="K8" s="320"/>
    </row>
    <row r="9" spans="1:15" s="310" customFormat="1">
      <c r="A9" s="321" t="s">
        <v>228</v>
      </c>
      <c r="B9" s="321" t="s">
        <v>227</v>
      </c>
      <c r="C9" s="321" t="s">
        <v>226</v>
      </c>
      <c r="D9" s="321"/>
      <c r="E9" s="322" t="s">
        <v>225</v>
      </c>
      <c r="F9" s="322"/>
      <c r="G9" s="321" t="s">
        <v>224</v>
      </c>
      <c r="H9" s="1385" t="s">
        <v>223</v>
      </c>
      <c r="I9" s="1385"/>
      <c r="J9" s="321" t="s">
        <v>222</v>
      </c>
      <c r="K9" s="321" t="s">
        <v>221</v>
      </c>
    </row>
    <row r="10" spans="1:15" s="323" customFormat="1">
      <c r="A10" s="1384" t="s">
        <v>220</v>
      </c>
      <c r="B10" s="1383" t="s">
        <v>219</v>
      </c>
      <c r="C10" s="1383" t="s">
        <v>218</v>
      </c>
      <c r="D10" s="1383" t="s">
        <v>505</v>
      </c>
      <c r="E10" s="1383" t="s">
        <v>216</v>
      </c>
      <c r="F10" s="1383"/>
      <c r="G10" s="1383" t="s">
        <v>215</v>
      </c>
      <c r="H10" s="1383" t="s">
        <v>214</v>
      </c>
      <c r="I10" s="1383"/>
      <c r="J10" s="1383" t="s">
        <v>240</v>
      </c>
      <c r="K10" s="1384" t="s">
        <v>506</v>
      </c>
    </row>
    <row r="11" spans="1:15" s="323" customFormat="1" ht="22.5">
      <c r="A11" s="1384"/>
      <c r="B11" s="1383"/>
      <c r="C11" s="1383"/>
      <c r="D11" s="1383"/>
      <c r="E11" s="324" t="s">
        <v>211</v>
      </c>
      <c r="F11" s="324" t="s">
        <v>210</v>
      </c>
      <c r="G11" s="1383"/>
      <c r="H11" s="324" t="s">
        <v>211</v>
      </c>
      <c r="I11" s="324" t="s">
        <v>210</v>
      </c>
      <c r="J11" s="1383"/>
      <c r="K11" s="1384"/>
    </row>
    <row r="12" spans="1:15" ht="15.95" customHeight="1">
      <c r="A12" s="325" t="s">
        <v>208</v>
      </c>
      <c r="B12" s="326"/>
      <c r="C12" s="326"/>
      <c r="D12" s="326"/>
      <c r="E12" s="326"/>
      <c r="F12" s="326"/>
      <c r="G12" s="326"/>
      <c r="H12" s="326"/>
      <c r="I12" s="326"/>
      <c r="J12" s="326"/>
      <c r="K12" s="327">
        <f>SUM(K13)</f>
        <v>0</v>
      </c>
    </row>
    <row r="13" spans="1:15" ht="19.5" customHeight="1">
      <c r="A13" s="329"/>
      <c r="B13" s="330"/>
      <c r="C13" s="330"/>
      <c r="D13" s="331"/>
      <c r="E13" s="331"/>
      <c r="F13" s="331"/>
      <c r="G13" s="330"/>
      <c r="H13" s="330"/>
      <c r="I13" s="330"/>
      <c r="J13" s="330"/>
      <c r="K13" s="332"/>
    </row>
    <row r="14" spans="1:15" ht="15.95" customHeight="1">
      <c r="A14" s="325" t="s">
        <v>207</v>
      </c>
      <c r="B14" s="326"/>
      <c r="C14" s="326"/>
      <c r="D14" s="333"/>
      <c r="E14" s="333"/>
      <c r="F14" s="333"/>
      <c r="G14" s="326"/>
      <c r="H14" s="326"/>
      <c r="I14" s="326"/>
      <c r="J14" s="326"/>
      <c r="K14" s="327">
        <f>SUM(K15:K21)</f>
        <v>1347102.0899999999</v>
      </c>
      <c r="M14" s="334"/>
      <c r="N14" s="334"/>
      <c r="O14" s="334"/>
    </row>
    <row r="15" spans="1:15" s="339" customFormat="1" ht="15.95" customHeight="1">
      <c r="A15" s="335"/>
      <c r="B15" s="336"/>
      <c r="C15" s="336"/>
      <c r="D15" s="337"/>
      <c r="E15" s="337"/>
      <c r="F15" s="337"/>
      <c r="G15" s="336"/>
      <c r="H15" s="336"/>
      <c r="I15" s="336"/>
      <c r="J15" s="336"/>
      <c r="K15" s="338"/>
      <c r="N15" s="340"/>
    </row>
    <row r="16" spans="1:15" s="339" customFormat="1" ht="15.95" customHeight="1">
      <c r="A16" s="341" t="s">
        <v>507</v>
      </c>
      <c r="B16" s="342"/>
      <c r="C16" s="342" t="s">
        <v>508</v>
      </c>
      <c r="D16" s="342"/>
      <c r="E16" s="342"/>
      <c r="F16" s="342"/>
      <c r="G16" s="342"/>
      <c r="H16" s="342"/>
      <c r="I16" s="342"/>
      <c r="J16" s="342" t="s">
        <v>509</v>
      </c>
      <c r="K16" s="343">
        <v>171837</v>
      </c>
      <c r="N16" s="340"/>
    </row>
    <row r="17" spans="1:14" s="339" customFormat="1" ht="15.95" customHeight="1">
      <c r="A17" s="344" t="s">
        <v>510</v>
      </c>
      <c r="B17" s="345" t="s">
        <v>511</v>
      </c>
      <c r="C17" s="345" t="s">
        <v>352</v>
      </c>
      <c r="D17" s="337"/>
      <c r="E17" s="337"/>
      <c r="F17" s="337"/>
      <c r="G17" s="345"/>
      <c r="H17" s="338">
        <v>675</v>
      </c>
      <c r="I17" s="338">
        <v>4050</v>
      </c>
      <c r="J17" s="336" t="s">
        <v>512</v>
      </c>
      <c r="K17" s="338">
        <v>268875</v>
      </c>
      <c r="N17" s="340"/>
    </row>
    <row r="18" spans="1:14" s="339" customFormat="1" ht="15.95" customHeight="1">
      <c r="A18" s="346" t="s">
        <v>513</v>
      </c>
      <c r="B18" s="336"/>
      <c r="C18" s="336"/>
      <c r="D18" s="337"/>
      <c r="E18" s="337"/>
      <c r="F18" s="337"/>
      <c r="G18" s="336"/>
      <c r="H18" s="336"/>
      <c r="I18" s="336"/>
      <c r="J18" s="336"/>
      <c r="K18" s="338"/>
      <c r="N18" s="340"/>
    </row>
    <row r="19" spans="1:14" ht="15.95" customHeight="1">
      <c r="A19" s="341" t="s">
        <v>514</v>
      </c>
      <c r="B19" s="341"/>
      <c r="C19" s="347"/>
      <c r="D19" s="341"/>
      <c r="E19" s="341"/>
      <c r="F19" s="341"/>
      <c r="G19" s="341"/>
      <c r="H19" s="341"/>
      <c r="I19" s="341"/>
      <c r="J19" s="341"/>
      <c r="K19" s="343">
        <v>381839.45</v>
      </c>
    </row>
    <row r="20" spans="1:14" ht="15.95" customHeight="1">
      <c r="A20" s="341" t="s">
        <v>515</v>
      </c>
      <c r="B20" s="341" t="s">
        <v>516</v>
      </c>
      <c r="C20" s="347" t="s">
        <v>352</v>
      </c>
      <c r="D20" s="341"/>
      <c r="E20" s="341"/>
      <c r="F20" s="341"/>
      <c r="G20" s="348"/>
      <c r="H20" s="349">
        <v>120000</v>
      </c>
      <c r="I20" s="349">
        <v>190000</v>
      </c>
      <c r="J20" s="336" t="s">
        <v>512</v>
      </c>
      <c r="K20" s="343"/>
    </row>
    <row r="21" spans="1:14" ht="15.95" customHeight="1">
      <c r="A21" s="329" t="s">
        <v>517</v>
      </c>
      <c r="B21" s="330"/>
      <c r="C21" s="330"/>
      <c r="D21" s="331"/>
      <c r="E21" s="331"/>
      <c r="F21" s="331"/>
      <c r="G21" s="332"/>
      <c r="H21" s="330"/>
      <c r="I21" s="330"/>
      <c r="J21" s="330"/>
      <c r="K21" s="332">
        <v>524550.64</v>
      </c>
    </row>
    <row r="22" spans="1:14" ht="15.95" customHeight="1"/>
    <row r="23" spans="1:14" s="310" customFormat="1" ht="15.95" customHeight="1">
      <c r="A23" s="350" t="s">
        <v>191</v>
      </c>
      <c r="B23" s="351"/>
      <c r="C23" s="351"/>
      <c r="D23" s="352"/>
      <c r="E23" s="352"/>
      <c r="F23" s="352"/>
      <c r="G23" s="351"/>
      <c r="H23" s="351"/>
      <c r="I23" s="351"/>
      <c r="J23" s="351"/>
      <c r="K23" s="353">
        <f>SUM(K24:K26)</f>
        <v>0</v>
      </c>
    </row>
    <row r="24" spans="1:14" s="310" customFormat="1" ht="15.95" customHeight="1">
      <c r="A24" s="354"/>
      <c r="B24" s="354"/>
      <c r="C24" s="354"/>
      <c r="D24" s="354"/>
      <c r="E24" s="354"/>
      <c r="F24" s="354"/>
      <c r="G24" s="354"/>
      <c r="H24" s="354"/>
      <c r="I24" s="354"/>
      <c r="J24" s="354"/>
      <c r="K24" s="354"/>
    </row>
    <row r="25" spans="1:14" s="310" customFormat="1" ht="15.95" customHeight="1">
      <c r="A25" s="354"/>
      <c r="B25" s="354"/>
      <c r="C25" s="354"/>
      <c r="D25" s="354"/>
      <c r="E25" s="354"/>
      <c r="F25" s="354"/>
      <c r="G25" s="354"/>
      <c r="H25" s="354"/>
      <c r="I25" s="354"/>
      <c r="J25" s="354"/>
      <c r="K25" s="354"/>
    </row>
    <row r="26" spans="1:14" s="310" customFormat="1" ht="15.95" customHeight="1">
      <c r="A26" s="354"/>
      <c r="B26" s="354"/>
      <c r="C26" s="354"/>
      <c r="D26" s="354"/>
      <c r="E26" s="354"/>
      <c r="F26" s="354"/>
      <c r="G26" s="354"/>
      <c r="H26" s="354"/>
      <c r="I26" s="354"/>
      <c r="J26" s="354"/>
      <c r="K26" s="354"/>
    </row>
    <row r="27" spans="1:14" ht="15.95" customHeight="1">
      <c r="A27" s="325" t="s">
        <v>179</v>
      </c>
      <c r="B27" s="326"/>
      <c r="C27" s="326"/>
      <c r="D27" s="333"/>
      <c r="E27" s="333"/>
      <c r="F27" s="333"/>
      <c r="G27" s="326"/>
      <c r="H27" s="326"/>
      <c r="I27" s="326"/>
      <c r="J27" s="326"/>
      <c r="K27" s="327">
        <f>SUM(K28:K53)</f>
        <v>770868.38</v>
      </c>
      <c r="L27" s="334"/>
      <c r="M27" s="334"/>
    </row>
    <row r="28" spans="1:14" ht="15.95" customHeight="1">
      <c r="A28" s="346" t="s">
        <v>518</v>
      </c>
      <c r="B28" s="338"/>
      <c r="C28" s="336" t="s">
        <v>519</v>
      </c>
      <c r="D28" s="337"/>
      <c r="E28" s="337"/>
      <c r="F28" s="337"/>
      <c r="G28" s="338">
        <v>1000</v>
      </c>
      <c r="H28" s="336"/>
      <c r="I28" s="336"/>
      <c r="J28" s="336" t="s">
        <v>512</v>
      </c>
      <c r="K28" s="338">
        <v>0</v>
      </c>
    </row>
    <row r="29" spans="1:14" ht="15.95" customHeight="1">
      <c r="A29" s="341" t="s">
        <v>520</v>
      </c>
      <c r="B29" s="355"/>
      <c r="C29" s="356" t="s">
        <v>521</v>
      </c>
      <c r="D29" s="356"/>
      <c r="E29" s="356"/>
      <c r="F29" s="356"/>
      <c r="G29" s="348">
        <v>600</v>
      </c>
      <c r="H29" s="355"/>
      <c r="I29" s="355"/>
      <c r="J29" s="336" t="s">
        <v>512</v>
      </c>
      <c r="K29" s="341"/>
    </row>
    <row r="30" spans="1:14" ht="15.95" customHeight="1">
      <c r="A30" s="346" t="s">
        <v>522</v>
      </c>
      <c r="B30" s="338"/>
      <c r="C30" s="357" t="s">
        <v>521</v>
      </c>
      <c r="D30" s="337"/>
      <c r="E30" s="337"/>
      <c r="F30" s="337"/>
      <c r="G30" s="338">
        <v>1000</v>
      </c>
      <c r="H30" s="336"/>
      <c r="I30" s="336"/>
      <c r="J30" s="336" t="s">
        <v>512</v>
      </c>
      <c r="K30" s="338">
        <v>6000</v>
      </c>
    </row>
    <row r="31" spans="1:14" ht="15.95" customHeight="1">
      <c r="A31" s="355" t="s">
        <v>523</v>
      </c>
      <c r="B31" s="356"/>
      <c r="C31" s="356" t="s">
        <v>521</v>
      </c>
      <c r="D31" s="356"/>
      <c r="E31" s="356"/>
      <c r="F31" s="356"/>
      <c r="G31" s="348">
        <v>300</v>
      </c>
      <c r="H31" s="356"/>
      <c r="I31" s="356"/>
      <c r="J31" s="336" t="s">
        <v>512</v>
      </c>
      <c r="K31" s="348">
        <v>8010</v>
      </c>
    </row>
    <row r="32" spans="1:14" ht="14.25" customHeight="1">
      <c r="A32" s="355" t="s">
        <v>524</v>
      </c>
      <c r="B32" s="356"/>
      <c r="C32" s="356" t="s">
        <v>521</v>
      </c>
      <c r="D32" s="356"/>
      <c r="E32" s="356"/>
      <c r="F32" s="356"/>
      <c r="G32" s="338">
        <v>3000</v>
      </c>
      <c r="H32" s="356"/>
      <c r="I32" s="356"/>
      <c r="J32" s="336" t="s">
        <v>512</v>
      </c>
      <c r="K32" s="348">
        <v>27000</v>
      </c>
    </row>
    <row r="33" spans="1:11" ht="14.25" customHeight="1">
      <c r="A33" s="355"/>
      <c r="B33" s="356"/>
      <c r="C33" s="356"/>
      <c r="D33" s="356"/>
      <c r="E33" s="356"/>
      <c r="F33" s="356"/>
      <c r="G33" s="338"/>
      <c r="H33" s="356"/>
      <c r="I33" s="356"/>
      <c r="J33" s="336"/>
      <c r="K33" s="348"/>
    </row>
    <row r="34" spans="1:11" ht="15.95" customHeight="1">
      <c r="A34" s="358" t="s">
        <v>525</v>
      </c>
      <c r="B34" s="330"/>
      <c r="C34" s="359" t="s">
        <v>521</v>
      </c>
      <c r="D34" s="331"/>
      <c r="E34" s="331"/>
      <c r="F34" s="331"/>
      <c r="G34" s="338"/>
      <c r="H34" s="338">
        <v>450</v>
      </c>
      <c r="I34" s="338">
        <v>1800</v>
      </c>
      <c r="J34" s="336" t="s">
        <v>512</v>
      </c>
      <c r="K34" s="338">
        <v>29380</v>
      </c>
    </row>
    <row r="35" spans="1:11" ht="15.95" customHeight="1">
      <c r="A35" s="341"/>
      <c r="B35" s="341"/>
      <c r="C35" s="341"/>
      <c r="D35" s="341"/>
      <c r="E35" s="341"/>
      <c r="F35" s="341"/>
      <c r="G35" s="341"/>
      <c r="H35" s="341"/>
      <c r="I35" s="341"/>
      <c r="J35" s="341"/>
      <c r="K35" s="341"/>
    </row>
    <row r="36" spans="1:11" ht="15.95" customHeight="1">
      <c r="A36" s="360" t="s">
        <v>526</v>
      </c>
      <c r="B36" s="338"/>
      <c r="C36" s="345"/>
      <c r="D36" s="337"/>
      <c r="E36" s="337"/>
      <c r="F36" s="337"/>
      <c r="G36" s="338"/>
      <c r="H36" s="345"/>
      <c r="I36" s="345"/>
      <c r="J36" s="345"/>
      <c r="K36" s="338"/>
    </row>
    <row r="37" spans="1:11" ht="15.95" customHeight="1">
      <c r="A37" s="329" t="s">
        <v>526</v>
      </c>
      <c r="B37" s="332"/>
      <c r="C37" s="359" t="s">
        <v>521</v>
      </c>
      <c r="D37" s="331"/>
      <c r="E37" s="331"/>
      <c r="F37" s="331"/>
      <c r="G37" s="338">
        <v>2000</v>
      </c>
      <c r="H37" s="336"/>
      <c r="I37" s="336"/>
      <c r="J37" s="336" t="s">
        <v>512</v>
      </c>
      <c r="K37" s="338">
        <v>105550</v>
      </c>
    </row>
    <row r="38" spans="1:11" ht="15.95" customHeight="1">
      <c r="A38" s="329" t="s">
        <v>527</v>
      </c>
      <c r="B38" s="332"/>
      <c r="C38" s="359" t="s">
        <v>521</v>
      </c>
      <c r="D38" s="331"/>
      <c r="E38" s="331"/>
      <c r="F38" s="331"/>
      <c r="G38" s="338" t="s">
        <v>528</v>
      </c>
      <c r="H38" s="336"/>
      <c r="I38" s="336"/>
      <c r="J38" s="336" t="s">
        <v>512</v>
      </c>
      <c r="K38" s="338">
        <v>21500</v>
      </c>
    </row>
    <row r="39" spans="1:11" ht="15.95" customHeight="1">
      <c r="A39" s="341"/>
      <c r="B39" s="341"/>
      <c r="C39" s="341"/>
      <c r="D39" s="341"/>
      <c r="E39" s="341"/>
      <c r="F39" s="341"/>
      <c r="G39" s="355"/>
      <c r="H39" s="355"/>
      <c r="I39" s="355"/>
      <c r="J39" s="355"/>
      <c r="K39" s="341"/>
    </row>
    <row r="40" spans="1:11" ht="15.95" customHeight="1">
      <c r="A40" s="361" t="s">
        <v>529</v>
      </c>
      <c r="B40" s="341"/>
      <c r="C40" s="341" t="s">
        <v>521</v>
      </c>
      <c r="D40" s="341"/>
      <c r="E40" s="341"/>
      <c r="F40" s="341"/>
      <c r="G40" s="341"/>
      <c r="H40" s="349">
        <v>340</v>
      </c>
      <c r="I40" s="349">
        <v>890</v>
      </c>
      <c r="J40" s="336" t="s">
        <v>512</v>
      </c>
      <c r="K40" s="348">
        <v>173722</v>
      </c>
    </row>
    <row r="41" spans="1:11" ht="15.95" customHeight="1">
      <c r="A41" s="362" t="s">
        <v>530</v>
      </c>
      <c r="B41" s="345"/>
      <c r="C41" s="363"/>
      <c r="D41" s="337"/>
      <c r="E41" s="337"/>
      <c r="F41" s="337"/>
      <c r="G41" s="338"/>
      <c r="H41" s="345"/>
      <c r="I41" s="345"/>
      <c r="J41" s="336"/>
      <c r="K41" s="338"/>
    </row>
    <row r="42" spans="1:11" ht="15.95" customHeight="1">
      <c r="A42" s="362"/>
      <c r="B42" s="345"/>
      <c r="C42" s="363"/>
      <c r="D42" s="337"/>
      <c r="E42" s="337"/>
      <c r="F42" s="337"/>
      <c r="G42" s="338"/>
      <c r="H42" s="345"/>
      <c r="I42" s="345"/>
      <c r="J42" s="336"/>
      <c r="K42" s="338"/>
    </row>
    <row r="43" spans="1:11" ht="15.95" customHeight="1">
      <c r="A43" s="358" t="s">
        <v>531</v>
      </c>
      <c r="B43" s="330"/>
      <c r="C43" s="330"/>
      <c r="D43" s="331"/>
      <c r="E43" s="331"/>
      <c r="F43" s="331"/>
      <c r="G43" s="330"/>
      <c r="H43" s="330"/>
      <c r="I43" s="330"/>
      <c r="J43" s="330"/>
      <c r="K43" s="338"/>
    </row>
    <row r="44" spans="1:11" ht="15.95" customHeight="1">
      <c r="A44" s="329"/>
      <c r="B44" s="332" t="s">
        <v>532</v>
      </c>
      <c r="C44" s="330" t="s">
        <v>345</v>
      </c>
      <c r="D44" s="332"/>
      <c r="E44" s="331"/>
      <c r="F44" s="331"/>
      <c r="G44" s="338"/>
      <c r="H44" s="338">
        <v>3</v>
      </c>
      <c r="I44" s="338">
        <v>20</v>
      </c>
      <c r="J44" s="336" t="s">
        <v>533</v>
      </c>
      <c r="K44" s="332">
        <v>196548.88</v>
      </c>
    </row>
    <row r="45" spans="1:11" ht="15.95" customHeight="1">
      <c r="A45" s="329"/>
      <c r="B45" s="332"/>
      <c r="C45" s="330"/>
      <c r="D45" s="332"/>
      <c r="E45" s="331"/>
      <c r="F45" s="331"/>
      <c r="G45" s="338"/>
      <c r="H45" s="338"/>
      <c r="I45" s="338"/>
      <c r="J45" s="336"/>
      <c r="K45" s="332"/>
    </row>
    <row r="46" spans="1:11" ht="15.95" customHeight="1">
      <c r="A46" s="364" t="s">
        <v>534</v>
      </c>
      <c r="B46" s="345"/>
      <c r="C46" s="345"/>
      <c r="D46" s="337"/>
      <c r="E46" s="337"/>
      <c r="F46" s="337"/>
      <c r="G46" s="345"/>
      <c r="H46" s="345"/>
      <c r="I46" s="345"/>
      <c r="J46" s="365" t="s">
        <v>535</v>
      </c>
      <c r="K46" s="338">
        <v>0</v>
      </c>
    </row>
    <row r="47" spans="1:11" ht="15.95" customHeight="1">
      <c r="A47" s="329" t="s">
        <v>536</v>
      </c>
      <c r="B47" s="330"/>
      <c r="C47" s="330"/>
      <c r="D47" s="331"/>
      <c r="E47" s="331"/>
      <c r="F47" s="331"/>
      <c r="G47" s="330" t="s">
        <v>537</v>
      </c>
      <c r="H47" s="330"/>
      <c r="I47" s="330"/>
      <c r="J47" s="365"/>
      <c r="K47" s="332">
        <v>203157.5</v>
      </c>
    </row>
    <row r="48" spans="1:11" ht="15.95" customHeight="1">
      <c r="A48" s="329" t="s">
        <v>538</v>
      </c>
      <c r="B48" s="330"/>
      <c r="C48" s="330"/>
      <c r="D48" s="331"/>
      <c r="E48" s="331"/>
      <c r="F48" s="331"/>
      <c r="G48" s="330" t="s">
        <v>539</v>
      </c>
      <c r="H48" s="330"/>
      <c r="I48" s="330"/>
      <c r="J48" s="345"/>
      <c r="K48" s="332"/>
    </row>
    <row r="49" spans="1:11" ht="15.95" customHeight="1">
      <c r="A49" s="328" t="s">
        <v>540</v>
      </c>
      <c r="B49" s="330"/>
      <c r="C49" s="330"/>
      <c r="D49" s="331"/>
      <c r="E49" s="331"/>
      <c r="F49" s="331"/>
      <c r="G49" s="330" t="s">
        <v>541</v>
      </c>
      <c r="H49" s="330"/>
      <c r="I49" s="330"/>
      <c r="J49" s="345"/>
      <c r="K49" s="332"/>
    </row>
    <row r="50" spans="1:11" ht="15.95" customHeight="1">
      <c r="A50" s="329" t="s">
        <v>542</v>
      </c>
      <c r="B50" s="330"/>
      <c r="C50" s="330"/>
      <c r="D50" s="331"/>
      <c r="E50" s="331"/>
      <c r="F50" s="331"/>
      <c r="G50" s="332">
        <v>10000</v>
      </c>
      <c r="H50" s="330"/>
      <c r="I50" s="330"/>
      <c r="J50" s="345"/>
      <c r="K50" s="332"/>
    </row>
    <row r="51" spans="1:11" ht="15.95" customHeight="1">
      <c r="A51" s="329"/>
      <c r="B51" s="330"/>
      <c r="C51" s="330"/>
      <c r="D51" s="331"/>
      <c r="E51" s="331"/>
      <c r="F51" s="331"/>
      <c r="G51" s="330"/>
      <c r="H51" s="330"/>
      <c r="I51" s="330"/>
      <c r="J51" s="345"/>
      <c r="K51" s="332"/>
    </row>
    <row r="52" spans="1:11" ht="15.95" customHeight="1">
      <c r="A52" s="329" t="s">
        <v>543</v>
      </c>
      <c r="B52" s="330"/>
      <c r="C52" s="330"/>
      <c r="D52" s="331"/>
      <c r="E52" s="331"/>
      <c r="F52" s="331"/>
      <c r="G52" s="330"/>
      <c r="H52" s="330"/>
      <c r="I52" s="330"/>
      <c r="J52" s="336" t="s">
        <v>535</v>
      </c>
      <c r="K52" s="338">
        <v>0</v>
      </c>
    </row>
    <row r="53" spans="1:11" ht="15.95" customHeight="1">
      <c r="A53" s="329"/>
      <c r="B53" s="332"/>
      <c r="C53" s="330"/>
      <c r="D53" s="332"/>
      <c r="E53" s="331"/>
      <c r="F53" s="331"/>
      <c r="G53" s="338"/>
      <c r="H53" s="338"/>
      <c r="I53" s="338"/>
      <c r="J53" s="336"/>
      <c r="K53" s="332"/>
    </row>
    <row r="54" spans="1:11" ht="15.95" customHeight="1">
      <c r="A54" s="325" t="s">
        <v>152</v>
      </c>
      <c r="B54" s="326"/>
      <c r="C54" s="326"/>
      <c r="D54" s="333"/>
      <c r="E54" s="333"/>
      <c r="F54" s="333"/>
      <c r="G54" s="326"/>
      <c r="H54" s="326"/>
      <c r="I54" s="326"/>
      <c r="J54" s="326"/>
      <c r="K54" s="327">
        <f>SUM(K55:K55)</f>
        <v>0</v>
      </c>
    </row>
    <row r="55" spans="1:11" ht="15.95" customHeight="1">
      <c r="A55" s="366"/>
      <c r="B55" s="330"/>
      <c r="C55" s="330"/>
      <c r="D55" s="331"/>
      <c r="E55" s="331"/>
      <c r="F55" s="331"/>
      <c r="G55" s="330"/>
      <c r="H55" s="330"/>
      <c r="I55" s="330"/>
      <c r="J55" s="330"/>
      <c r="K55" s="332"/>
    </row>
    <row r="56" spans="1:11" ht="15.95" customHeight="1">
      <c r="A56" s="325" t="s">
        <v>151</v>
      </c>
      <c r="B56" s="326"/>
      <c r="C56" s="326"/>
      <c r="D56" s="333"/>
      <c r="E56" s="333"/>
      <c r="F56" s="333"/>
      <c r="G56" s="326"/>
      <c r="H56" s="326"/>
      <c r="I56" s="326"/>
      <c r="J56" s="326"/>
      <c r="K56" s="327">
        <f>SUM(K57:K57)</f>
        <v>0</v>
      </c>
    </row>
    <row r="57" spans="1:11" ht="15.95" customHeight="1">
      <c r="A57" s="366"/>
      <c r="B57" s="330"/>
      <c r="C57" s="330"/>
      <c r="D57" s="331"/>
      <c r="E57" s="331"/>
      <c r="F57" s="331"/>
      <c r="G57" s="330"/>
      <c r="H57" s="330"/>
      <c r="I57" s="330"/>
      <c r="J57" s="330"/>
      <c r="K57" s="332"/>
    </row>
    <row r="58" spans="1:11" s="310" customFormat="1" ht="15.95" customHeight="1">
      <c r="A58" s="350" t="s">
        <v>137</v>
      </c>
      <c r="B58" s="351"/>
      <c r="C58" s="351"/>
      <c r="D58" s="352"/>
      <c r="E58" s="352"/>
      <c r="F58" s="352"/>
      <c r="G58" s="351"/>
      <c r="H58" s="351"/>
      <c r="I58" s="351"/>
      <c r="J58" s="351"/>
      <c r="K58" s="353">
        <f>SUM(K59)</f>
        <v>0</v>
      </c>
    </row>
    <row r="59" spans="1:11" s="310" customFormat="1" ht="15.95" customHeight="1">
      <c r="A59" s="367"/>
      <c r="B59" s="368"/>
      <c r="C59" s="368"/>
      <c r="D59" s="369"/>
      <c r="E59" s="369"/>
      <c r="F59" s="369"/>
      <c r="G59" s="368"/>
      <c r="H59" s="368"/>
      <c r="I59" s="368"/>
      <c r="J59" s="368"/>
      <c r="K59" s="370"/>
    </row>
    <row r="60" spans="1:11" ht="15.95" customHeight="1">
      <c r="A60" s="325" t="s">
        <v>136</v>
      </c>
      <c r="B60" s="326"/>
      <c r="C60" s="326"/>
      <c r="D60" s="333"/>
      <c r="E60" s="333"/>
      <c r="F60" s="333"/>
      <c r="G60" s="326"/>
      <c r="H60" s="326"/>
      <c r="I60" s="326"/>
      <c r="J60" s="326"/>
      <c r="K60" s="327">
        <f>SUM(K61:K66)</f>
        <v>148670.60999999999</v>
      </c>
    </row>
    <row r="61" spans="1:11" ht="15.95" customHeight="1">
      <c r="A61" s="362" t="s">
        <v>544</v>
      </c>
      <c r="B61" s="345"/>
      <c r="C61" s="345"/>
      <c r="D61" s="337"/>
      <c r="E61" s="337"/>
      <c r="F61" s="337"/>
      <c r="G61" s="345"/>
      <c r="H61" s="345"/>
      <c r="I61" s="345"/>
      <c r="J61" s="345"/>
      <c r="K61" s="338">
        <v>0.11</v>
      </c>
    </row>
    <row r="62" spans="1:11" ht="15.95" customHeight="1">
      <c r="A62" s="342" t="s">
        <v>545</v>
      </c>
      <c r="B62" s="342"/>
      <c r="C62" s="342"/>
      <c r="D62" s="342"/>
      <c r="E62" s="342"/>
      <c r="F62" s="342"/>
      <c r="G62" s="342"/>
      <c r="H62" s="342"/>
      <c r="I62" s="342"/>
      <c r="J62" s="342"/>
      <c r="K62" s="343">
        <v>2183.75</v>
      </c>
    </row>
    <row r="63" spans="1:11" ht="15.95" customHeight="1">
      <c r="A63" s="366" t="s">
        <v>546</v>
      </c>
      <c r="B63" s="330"/>
      <c r="C63" s="359" t="s">
        <v>547</v>
      </c>
      <c r="D63" s="331"/>
      <c r="E63" s="331"/>
      <c r="F63" s="331"/>
      <c r="G63" s="330"/>
      <c r="H63" s="330"/>
      <c r="I63" s="330"/>
      <c r="J63" s="330"/>
      <c r="K63" s="338">
        <v>13966.75</v>
      </c>
    </row>
    <row r="64" spans="1:11" ht="15.95" customHeight="1">
      <c r="A64" s="342" t="s">
        <v>548</v>
      </c>
      <c r="B64" s="341"/>
      <c r="C64" s="341"/>
      <c r="D64" s="341"/>
      <c r="E64" s="341"/>
      <c r="F64" s="341"/>
      <c r="G64" s="341"/>
      <c r="H64" s="341"/>
      <c r="I64" s="341"/>
      <c r="J64" s="341"/>
      <c r="K64" s="343">
        <v>18563</v>
      </c>
    </row>
    <row r="65" spans="1:12" ht="15.95" customHeight="1">
      <c r="A65" s="342" t="s">
        <v>549</v>
      </c>
      <c r="B65" s="341"/>
      <c r="C65" s="341" t="s">
        <v>521</v>
      </c>
      <c r="D65" s="341"/>
      <c r="E65" s="341"/>
      <c r="F65" s="341"/>
      <c r="G65" s="341"/>
      <c r="H65" s="341"/>
      <c r="I65" s="341"/>
      <c r="J65" s="341"/>
      <c r="K65" s="343">
        <v>25957</v>
      </c>
    </row>
    <row r="66" spans="1:12" s="372" customFormat="1" ht="15.95" customHeight="1">
      <c r="A66" s="342" t="s">
        <v>550</v>
      </c>
      <c r="B66" s="341"/>
      <c r="C66" s="341"/>
      <c r="D66" s="341"/>
      <c r="E66" s="341"/>
      <c r="F66" s="341"/>
      <c r="G66" s="341"/>
      <c r="H66" s="341"/>
      <c r="I66" s="341"/>
      <c r="J66" s="341"/>
      <c r="K66" s="343">
        <v>88000</v>
      </c>
      <c r="L66" s="371"/>
    </row>
    <row r="67" spans="1:12" ht="15.95" customHeight="1">
      <c r="A67" s="373" t="s">
        <v>108</v>
      </c>
      <c r="B67" s="374"/>
      <c r="C67" s="374"/>
      <c r="D67" s="375"/>
      <c r="E67" s="375"/>
      <c r="F67" s="375"/>
      <c r="G67" s="374"/>
      <c r="H67" s="374"/>
      <c r="I67" s="374"/>
      <c r="J67" s="374"/>
      <c r="K67" s="376">
        <f>K60+K58+K56+K54+K27+K14+K23</f>
        <v>2266641.08</v>
      </c>
    </row>
    <row r="68" spans="1:12">
      <c r="A68" s="377"/>
      <c r="B68" s="378"/>
      <c r="C68" s="378"/>
      <c r="D68" s="378"/>
      <c r="E68" s="378"/>
      <c r="F68" s="378"/>
      <c r="G68" s="378"/>
      <c r="H68" s="378"/>
      <c r="I68" s="378"/>
      <c r="J68" s="378"/>
      <c r="K68" s="378"/>
    </row>
    <row r="69" spans="1:12">
      <c r="K69" s="334"/>
    </row>
    <row r="70" spans="1:12">
      <c r="K70" s="379"/>
    </row>
    <row r="73" spans="1:12">
      <c r="K73" s="334"/>
    </row>
  </sheetData>
  <mergeCells count="10">
    <mergeCell ref="J10:J11"/>
    <mergeCell ref="K10:K11"/>
    <mergeCell ref="H9:I9"/>
    <mergeCell ref="A10:A11"/>
    <mergeCell ref="B10:B11"/>
    <mergeCell ref="C10:C11"/>
    <mergeCell ref="D10:D11"/>
    <mergeCell ref="E10:F10"/>
    <mergeCell ref="G10:G11"/>
    <mergeCell ref="H10:I10"/>
  </mergeCells>
  <pageMargins left="0.25" right="0.25"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35</vt:i4>
      </vt:variant>
    </vt:vector>
  </HeadingPairs>
  <TitlesOfParts>
    <vt:vector size="79" baseType="lpstr">
      <vt:lpstr>Caratula</vt:lpstr>
      <vt:lpstr>Aldea San Antonio</vt:lpstr>
      <vt:lpstr>Basavilbaso</vt:lpstr>
      <vt:lpstr>Ceibas</vt:lpstr>
      <vt:lpstr>Cerrito</vt:lpstr>
      <vt:lpstr>Chajari</vt:lpstr>
      <vt:lpstr>Colonia Avellaneda</vt:lpstr>
      <vt:lpstr>Colonia Ayui</vt:lpstr>
      <vt:lpstr>Colonia Elia</vt:lpstr>
      <vt:lpstr>Crespo</vt:lpstr>
      <vt:lpstr>Enrique Carbó</vt:lpstr>
      <vt:lpstr>Federación</vt:lpstr>
      <vt:lpstr>Federal</vt:lpstr>
      <vt:lpstr>General Ramírez</vt:lpstr>
      <vt:lpstr>Gualeguay</vt:lpstr>
      <vt:lpstr>Gualeguaychú</vt:lpstr>
      <vt:lpstr>Hernandez</vt:lpstr>
      <vt:lpstr>Ibicuy</vt:lpstr>
      <vt:lpstr>La Paz</vt:lpstr>
      <vt:lpstr>Los Charrúas</vt:lpstr>
      <vt:lpstr>María Grande</vt:lpstr>
      <vt:lpstr>Paraná</vt:lpstr>
      <vt:lpstr>Piedras Blancas</vt:lpstr>
      <vt:lpstr>Pueblo General Belgrano</vt:lpstr>
      <vt:lpstr>Puerto Yeruá</vt:lpstr>
      <vt:lpstr>Rosario del Tala</vt:lpstr>
      <vt:lpstr>San Benito</vt:lpstr>
      <vt:lpstr>San Gustavo</vt:lpstr>
      <vt:lpstr>San Jaime</vt:lpstr>
      <vt:lpstr>San José</vt:lpstr>
      <vt:lpstr>San Salvador</vt:lpstr>
      <vt:lpstr>Seguí</vt:lpstr>
      <vt:lpstr>Tabossi</vt:lpstr>
      <vt:lpstr>Ubajay</vt:lpstr>
      <vt:lpstr>Urdinarrain</vt:lpstr>
      <vt:lpstr>Viale</vt:lpstr>
      <vt:lpstr>Villa Clara</vt:lpstr>
      <vt:lpstr>Villa del Rosario</vt:lpstr>
      <vt:lpstr>Villa Dominguez</vt:lpstr>
      <vt:lpstr>Villa Elisa</vt:lpstr>
      <vt:lpstr>Villa Hernandarias</vt:lpstr>
      <vt:lpstr>Villa Mantero</vt:lpstr>
      <vt:lpstr>Villa Paranacito</vt:lpstr>
      <vt:lpstr>Villaguay</vt:lpstr>
      <vt:lpstr>Basavilbaso!Área_de_impresión</vt:lpstr>
      <vt:lpstr>Ceibas!Área_de_impresión</vt:lpstr>
      <vt:lpstr>Cerrito!Área_de_impresión</vt:lpstr>
      <vt:lpstr>Chajari!Área_de_impresión</vt:lpstr>
      <vt:lpstr>'Colonia Avellaneda'!Área_de_impresión</vt:lpstr>
      <vt:lpstr>'Colonia Ayui'!Área_de_impresión</vt:lpstr>
      <vt:lpstr>Crespo!Área_de_impresión</vt:lpstr>
      <vt:lpstr>'Enrique Carbó'!Área_de_impresión</vt:lpstr>
      <vt:lpstr>Federación!Área_de_impresión</vt:lpstr>
      <vt:lpstr>Gualeguay!Área_de_impresión</vt:lpstr>
      <vt:lpstr>Gualeguaychú!Área_de_impresión</vt:lpstr>
      <vt:lpstr>Hernandez!Área_de_impresión</vt:lpstr>
      <vt:lpstr>Ibicuy!Área_de_impresión</vt:lpstr>
      <vt:lpstr>'La Paz'!Área_de_impresión</vt:lpstr>
      <vt:lpstr>'Los Charrúas'!Área_de_impresión</vt:lpstr>
      <vt:lpstr>'María Grande'!Área_de_impresión</vt:lpstr>
      <vt:lpstr>Paraná!Área_de_impresión</vt:lpstr>
      <vt:lpstr>'Piedras Blancas'!Área_de_impresión</vt:lpstr>
      <vt:lpstr>'Puerto Yeruá'!Área_de_impresión</vt:lpstr>
      <vt:lpstr>'Rosario del Tala'!Área_de_impresión</vt:lpstr>
      <vt:lpstr>'San Benito'!Área_de_impresión</vt:lpstr>
      <vt:lpstr>'San Gustavo'!Área_de_impresión</vt:lpstr>
      <vt:lpstr>'San Jaime'!Área_de_impresión</vt:lpstr>
      <vt:lpstr>'San Salvador'!Área_de_impresión</vt:lpstr>
      <vt:lpstr>Seguí!Área_de_impresión</vt:lpstr>
      <vt:lpstr>Tabossi!Área_de_impresión</vt:lpstr>
      <vt:lpstr>Ubajay!Área_de_impresión</vt:lpstr>
      <vt:lpstr>Urdinarrain!Área_de_impresión</vt:lpstr>
      <vt:lpstr>Viale!Área_de_impresión</vt:lpstr>
      <vt:lpstr>'Villa del Rosario'!Área_de_impresión</vt:lpstr>
      <vt:lpstr>'Villa Dominguez'!Área_de_impresión</vt:lpstr>
      <vt:lpstr>'Villa Elisa'!Área_de_impresión</vt:lpstr>
      <vt:lpstr>'Villa Mantero'!Área_de_impresión</vt:lpstr>
      <vt:lpstr>'Villa Paranacito'!Área_de_impresión</vt:lpstr>
      <vt:lpstr>Villaguay!Área_de_impresión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2022-11-28T15:31:33Z</dcterms:modified>
</cp:coreProperties>
</file>